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inelandscapecenter.sharepoint.com/sites/CollaborationSite/Shared Documents/Shared/PFLC/2026/Master Pricing 2026/MASTER FILES/"/>
    </mc:Choice>
  </mc:AlternateContent>
  <xr:revisionPtr revIDLastSave="0" documentId="8_{A7F4DDCD-19E4-4045-9A8D-447B287E2998}" xr6:coauthVersionLast="47" xr6:coauthVersionMax="47" xr10:uidLastSave="{00000000-0000-0000-0000-000000000000}"/>
  <bookViews>
    <workbookView xWindow="-120" yWindow="-120" windowWidth="29040" windowHeight="15840" firstSheet="5" activeTab="8" xr2:uid="{A095C5A8-E294-48E0-8EAB-9BA4A581069D}"/>
  </bookViews>
  <sheets>
    <sheet name="2023" sheetId="21" r:id="rId1"/>
    <sheet name="2023 with Cost" sheetId="22" r:id="rId2"/>
    <sheet name="2024" sheetId="27" r:id="rId3"/>
    <sheet name="Planting Mix" sheetId="28" r:id="rId4"/>
    <sheet name="Special" sheetId="23" r:id="rId5"/>
    <sheet name="2025" sheetId="29" r:id="rId6"/>
    <sheet name="Drainage 2026-Do not print" sheetId="31" r:id="rId7"/>
    <sheet name="2026" sheetId="24" r:id="rId8"/>
    <sheet name="PARTNER PRICE GUIDE PRINTABLE" sheetId="25" r:id="rId9"/>
    <sheet name="RETAIL PRICE GUIDE PRINTABLE" sheetId="26" r:id="rId10"/>
  </sheets>
  <definedNames>
    <definedName name="_xlnm._FilterDatabase" localSheetId="2" hidden="1">'2024'!$A$3:$X$228</definedName>
    <definedName name="_xlnm._FilterDatabase" localSheetId="5" hidden="1">'2025'!$B$3:$Y$223</definedName>
    <definedName name="_xlnm._FilterDatabase" localSheetId="7" hidden="1">'2026'!$B$3:$Y$219</definedName>
    <definedName name="_xlnm._FilterDatabase" localSheetId="6" hidden="1">'Drainage 2026-Do not print'!$B$3:$Y$20</definedName>
    <definedName name="_xlnm._FilterDatabase" localSheetId="8" hidden="1">'PARTNER PRICE GUIDE PRINTABLE'!$A$3:$J$219</definedName>
    <definedName name="_xlnm._FilterDatabase" localSheetId="9" hidden="1">'RETAIL PRICE GUIDE PRINTABLE'!$A$3:$K$219</definedName>
    <definedName name="_xlnm.Print_Area" localSheetId="0">'2023'!$A$2:$H$224</definedName>
    <definedName name="_xlnm.Print_Area" localSheetId="1">'2023 with Cost'!$A$2:$H$224</definedName>
    <definedName name="_xlnm.Print_Area" localSheetId="2">'2024'!$A$2:$I$228</definedName>
    <definedName name="_xlnm.Print_Area" localSheetId="5">'2025'!$B$2:$J$223</definedName>
    <definedName name="_xlnm.Print_Area" localSheetId="7">'2026'!$B$2:$J$219</definedName>
    <definedName name="_xlnm.Print_Area" localSheetId="6">'Drainage 2026-Do not print'!$B$2:$J$20</definedName>
    <definedName name="_xlnm.Print_Area" localSheetId="8">'PARTNER PRICE GUIDE PRINTABLE'!$A$2:$J$218</definedName>
    <definedName name="_xlnm.Print_Area" localSheetId="9">'RETAIL PRICE GUIDE PRINTABLE'!$A$1:$K$218</definedName>
    <definedName name="_xlnm.Print_Titles" localSheetId="0">'2023'!$2:$3</definedName>
    <definedName name="_xlnm.Print_Titles" localSheetId="1">'2023 with Cost'!$2:$3</definedName>
    <definedName name="_xlnm.Print_Titles" localSheetId="2">'2024'!$2:$3</definedName>
    <definedName name="_xlnm.Print_Titles" localSheetId="5">'2025'!$2:$3</definedName>
    <definedName name="_xlnm.Print_Titles" localSheetId="7">'2026'!$2:$3</definedName>
    <definedName name="_xlnm.Print_Titles" localSheetId="6">'Drainage 2026-Do not print'!$2:$3</definedName>
    <definedName name="_xlnm.Print_Titles" localSheetId="8">'PARTNER PRICE GUIDE PRINTABLE'!$2:$3</definedName>
    <definedName name="_xlnm.Print_Titles" localSheetId="9">'RETAIL PRICE GUIDE PRINTABLE'!$2:$3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7" i="24" l="1"/>
  <c r="S6" i="24"/>
  <c r="R139" i="24"/>
  <c r="R138" i="24"/>
  <c r="R137" i="24"/>
  <c r="T99" i="24"/>
  <c r="T98" i="24"/>
  <c r="T97" i="24"/>
  <c r="T96" i="24"/>
  <c r="T95" i="24"/>
  <c r="T94" i="24"/>
  <c r="T93" i="24"/>
  <c r="T91" i="24"/>
  <c r="T90" i="24"/>
  <c r="T84" i="24"/>
  <c r="R77" i="24"/>
  <c r="R76" i="24"/>
  <c r="R82" i="24"/>
  <c r="R75" i="24"/>
  <c r="AD79" i="29"/>
  <c r="AD80" i="29"/>
  <c r="AD81" i="29"/>
  <c r="AD78" i="29"/>
  <c r="P81" i="24"/>
  <c r="P80" i="24"/>
  <c r="P79" i="24"/>
  <c r="P78" i="24"/>
  <c r="R78" i="24"/>
  <c r="R81" i="24"/>
  <c r="R80" i="24"/>
  <c r="R79" i="24"/>
  <c r="M37" i="24"/>
  <c r="E100" i="25"/>
  <c r="C100" i="25"/>
  <c r="B100" i="25"/>
  <c r="A100" i="25"/>
  <c r="E100" i="26"/>
  <c r="C100" i="26"/>
  <c r="B100" i="26"/>
  <c r="A100" i="26"/>
  <c r="U100" i="24"/>
  <c r="W100" i="24" s="1"/>
  <c r="O100" i="24"/>
  <c r="M100" i="24"/>
  <c r="G100" i="24"/>
  <c r="F100" i="24"/>
  <c r="S66" i="24"/>
  <c r="S49" i="24"/>
  <c r="S48" i="24"/>
  <c r="S47" i="24"/>
  <c r="S46" i="24"/>
  <c r="S45" i="24"/>
  <c r="S44" i="24"/>
  <c r="R49" i="24"/>
  <c r="R48" i="24"/>
  <c r="R47" i="24"/>
  <c r="R46" i="24"/>
  <c r="S20" i="24"/>
  <c r="S19" i="24"/>
  <c r="S18" i="24"/>
  <c r="S44" i="29"/>
  <c r="R20" i="24"/>
  <c r="R19" i="24"/>
  <c r="T84" i="29"/>
  <c r="M6" i="31"/>
  <c r="M7" i="31"/>
  <c r="F7" i="31" s="1"/>
  <c r="M8" i="31"/>
  <c r="F8" i="31" s="1"/>
  <c r="M9" i="31"/>
  <c r="F9" i="31" s="1"/>
  <c r="M10" i="31"/>
  <c r="F10" i="31" s="1"/>
  <c r="M11" i="31"/>
  <c r="M12" i="31"/>
  <c r="M13" i="31"/>
  <c r="M14" i="31"/>
  <c r="M15" i="31"/>
  <c r="M16" i="31"/>
  <c r="F16" i="31" s="1"/>
  <c r="M17" i="31"/>
  <c r="M18" i="31"/>
  <c r="M19" i="31"/>
  <c r="M20" i="31"/>
  <c r="M5" i="31"/>
  <c r="O6" i="31"/>
  <c r="O7" i="31"/>
  <c r="O8" i="31"/>
  <c r="O9" i="31"/>
  <c r="O10" i="31"/>
  <c r="O11" i="31"/>
  <c r="F11" i="31" s="1"/>
  <c r="O12" i="31"/>
  <c r="O13" i="31"/>
  <c r="O14" i="31"/>
  <c r="O15" i="31"/>
  <c r="O16" i="31"/>
  <c r="O17" i="31"/>
  <c r="F17" i="31" s="1"/>
  <c r="O18" i="31"/>
  <c r="O19" i="31"/>
  <c r="O20" i="31"/>
  <c r="O5" i="31"/>
  <c r="G13" i="31"/>
  <c r="H13" i="31" s="1"/>
  <c r="I13" i="31" s="1"/>
  <c r="J13" i="31" s="1"/>
  <c r="G6" i="31"/>
  <c r="H6" i="31" s="1"/>
  <c r="I6" i="31" s="1"/>
  <c r="J6" i="31" s="1"/>
  <c r="G7" i="31"/>
  <c r="H7" i="31" s="1"/>
  <c r="I7" i="31" s="1"/>
  <c r="J7" i="31" s="1"/>
  <c r="G10" i="31"/>
  <c r="H10" i="31" s="1"/>
  <c r="I10" i="31" s="1"/>
  <c r="J10" i="31" s="1"/>
  <c r="G12" i="31"/>
  <c r="H12" i="31" s="1"/>
  <c r="I12" i="31" s="1"/>
  <c r="J12" i="31" s="1"/>
  <c r="F13" i="31"/>
  <c r="F14" i="31"/>
  <c r="F15" i="31"/>
  <c r="G5" i="31"/>
  <c r="H5" i="31" s="1"/>
  <c r="I5" i="31" s="1"/>
  <c r="J5" i="31" s="1"/>
  <c r="U20" i="31"/>
  <c r="W20" i="31" s="1"/>
  <c r="U19" i="31"/>
  <c r="W19" i="31" s="1"/>
  <c r="U18" i="31"/>
  <c r="W18" i="31" s="1"/>
  <c r="U17" i="31"/>
  <c r="W17" i="31" s="1"/>
  <c r="U16" i="31"/>
  <c r="W16" i="31" s="1"/>
  <c r="U15" i="31"/>
  <c r="W15" i="31" s="1"/>
  <c r="U14" i="31"/>
  <c r="W14" i="31" s="1"/>
  <c r="U13" i="31"/>
  <c r="W13" i="31" s="1"/>
  <c r="U12" i="31"/>
  <c r="W12" i="31" s="1"/>
  <c r="U11" i="31"/>
  <c r="W11" i="31" s="1"/>
  <c r="U10" i="31"/>
  <c r="W10" i="31" s="1"/>
  <c r="U9" i="31"/>
  <c r="W9" i="31" s="1"/>
  <c r="U8" i="31"/>
  <c r="W8" i="31" s="1"/>
  <c r="U7" i="31"/>
  <c r="W7" i="31" s="1"/>
  <c r="U6" i="31"/>
  <c r="W6" i="31" s="1"/>
  <c r="F6" i="31"/>
  <c r="U5" i="31"/>
  <c r="W5" i="31" s="1"/>
  <c r="U4" i="31"/>
  <c r="W4" i="31" s="1"/>
  <c r="G180" i="24"/>
  <c r="F180" i="24"/>
  <c r="G182" i="24"/>
  <c r="F182" i="24"/>
  <c r="G183" i="24"/>
  <c r="F183" i="24"/>
  <c r="O184" i="24"/>
  <c r="G184" i="24" s="1"/>
  <c r="M184" i="24"/>
  <c r="F184" i="24" s="1"/>
  <c r="F100" i="25" l="1"/>
  <c r="G100" i="26"/>
  <c r="F100" i="26" s="1"/>
  <c r="G100" i="25"/>
  <c r="H100" i="26"/>
  <c r="J100" i="24"/>
  <c r="I100" i="24"/>
  <c r="H100" i="24"/>
  <c r="F20" i="31"/>
  <c r="F19" i="31"/>
  <c r="F18" i="31"/>
  <c r="G11" i="31"/>
  <c r="H11" i="31" s="1"/>
  <c r="I11" i="31" s="1"/>
  <c r="J11" i="31" s="1"/>
  <c r="G20" i="31"/>
  <c r="H20" i="31" s="1"/>
  <c r="I20" i="31" s="1"/>
  <c r="J20" i="31" s="1"/>
  <c r="G18" i="31"/>
  <c r="H18" i="31" s="1"/>
  <c r="I18" i="31" s="1"/>
  <c r="J18" i="31" s="1"/>
  <c r="G15" i="31"/>
  <c r="H15" i="31" s="1"/>
  <c r="I15" i="31" s="1"/>
  <c r="J15" i="31" s="1"/>
  <c r="F5" i="31"/>
  <c r="F12" i="31"/>
  <c r="G14" i="31"/>
  <c r="H14" i="31" s="1"/>
  <c r="I14" i="31" s="1"/>
  <c r="J14" i="31" s="1"/>
  <c r="G19" i="31"/>
  <c r="H19" i="31" s="1"/>
  <c r="I19" i="31" s="1"/>
  <c r="J19" i="31" s="1"/>
  <c r="G17" i="31"/>
  <c r="H17" i="31" s="1"/>
  <c r="I17" i="31" s="1"/>
  <c r="J17" i="31" s="1"/>
  <c r="G16" i="31"/>
  <c r="H16" i="31" s="1"/>
  <c r="I16" i="31" s="1"/>
  <c r="J16" i="31" s="1"/>
  <c r="G9" i="31"/>
  <c r="H9" i="31" s="1"/>
  <c r="I9" i="31" s="1"/>
  <c r="J9" i="31" s="1"/>
  <c r="G8" i="31"/>
  <c r="H8" i="31" s="1"/>
  <c r="I8" i="31" s="1"/>
  <c r="J8" i="31" s="1"/>
  <c r="G29" i="24"/>
  <c r="F29" i="24"/>
  <c r="S29" i="24"/>
  <c r="S26" i="24"/>
  <c r="S25" i="24"/>
  <c r="S24" i="24"/>
  <c r="H100" i="25" l="1"/>
  <c r="I100" i="26"/>
  <c r="I100" i="25"/>
  <c r="J100" i="26"/>
  <c r="J100" i="25"/>
  <c r="K100" i="26"/>
  <c r="F169" i="24"/>
  <c r="G169" i="24"/>
  <c r="F170" i="24"/>
  <c r="G170" i="24"/>
  <c r="F171" i="24"/>
  <c r="G171" i="24"/>
  <c r="G168" i="24"/>
  <c r="F168" i="24"/>
  <c r="U164" i="24" l="1"/>
  <c r="W164" i="24" s="1"/>
  <c r="M164" i="24" s="1"/>
  <c r="E164" i="25"/>
  <c r="C164" i="25"/>
  <c r="B164" i="25"/>
  <c r="A164" i="25"/>
  <c r="E164" i="26"/>
  <c r="C164" i="26"/>
  <c r="B164" i="26"/>
  <c r="A164" i="26"/>
  <c r="O164" i="24"/>
  <c r="G164" i="24"/>
  <c r="F164" i="24"/>
  <c r="G108" i="24"/>
  <c r="F108" i="24"/>
  <c r="G107" i="24"/>
  <c r="F107" i="24"/>
  <c r="F164" i="25" l="1"/>
  <c r="G164" i="26"/>
  <c r="G164" i="25"/>
  <c r="H164" i="26"/>
  <c r="J164" i="24"/>
  <c r="I164" i="24"/>
  <c r="H164" i="24"/>
  <c r="G110" i="24"/>
  <c r="F110" i="24"/>
  <c r="G109" i="24"/>
  <c r="F109" i="24"/>
  <c r="G106" i="24"/>
  <c r="F106" i="24"/>
  <c r="G105" i="24"/>
  <c r="F105" i="24"/>
  <c r="G104" i="24"/>
  <c r="F104" i="24"/>
  <c r="G103" i="24"/>
  <c r="F103" i="24"/>
  <c r="G102" i="24"/>
  <c r="F102" i="24"/>
  <c r="H164" i="25" l="1"/>
  <c r="I164" i="26"/>
  <c r="I164" i="25"/>
  <c r="J164" i="26"/>
  <c r="J164" i="25"/>
  <c r="K164" i="26"/>
  <c r="X218" i="24"/>
  <c r="G10" i="24"/>
  <c r="F10" i="24"/>
  <c r="G7" i="24"/>
  <c r="F7" i="24"/>
  <c r="F85" i="24"/>
  <c r="G85" i="24"/>
  <c r="F86" i="24"/>
  <c r="G86" i="24"/>
  <c r="G73" i="24"/>
  <c r="F73" i="24"/>
  <c r="G6" i="24"/>
  <c r="F6" i="24"/>
  <c r="S68" i="24"/>
  <c r="S69" i="24"/>
  <c r="U42" i="24"/>
  <c r="W42" i="24" s="1"/>
  <c r="O42" i="24" s="1"/>
  <c r="G42" i="24" s="1"/>
  <c r="S38" i="24"/>
  <c r="S36" i="24"/>
  <c r="S33" i="24"/>
  <c r="S32" i="24"/>
  <c r="R15" i="24"/>
  <c r="M42" i="24" l="1"/>
  <c r="F42" i="24" s="1"/>
  <c r="R217" i="24"/>
  <c r="R143" i="24"/>
  <c r="S127" i="24"/>
  <c r="G129" i="24"/>
  <c r="G129" i="25" s="1"/>
  <c r="F129" i="24"/>
  <c r="G128" i="24"/>
  <c r="F128" i="24"/>
  <c r="G126" i="24"/>
  <c r="F126" i="24"/>
  <c r="G125" i="24"/>
  <c r="F125" i="24"/>
  <c r="E128" i="25"/>
  <c r="C128" i="25"/>
  <c r="B128" i="25"/>
  <c r="A128" i="25"/>
  <c r="E128" i="26"/>
  <c r="C128" i="26"/>
  <c r="B128" i="26"/>
  <c r="A128" i="26"/>
  <c r="U128" i="24"/>
  <c r="W128" i="24" s="1"/>
  <c r="F130" i="24"/>
  <c r="G130" i="24"/>
  <c r="S35" i="24"/>
  <c r="S17" i="24"/>
  <c r="S16" i="24"/>
  <c r="S15" i="24"/>
  <c r="S14" i="24"/>
  <c r="S13" i="24"/>
  <c r="S31" i="24"/>
  <c r="S65" i="24"/>
  <c r="S64" i="24"/>
  <c r="S63" i="24"/>
  <c r="S62" i="24"/>
  <c r="S61" i="24"/>
  <c r="S60" i="24"/>
  <c r="S59" i="24"/>
  <c r="S58" i="24"/>
  <c r="S57" i="24"/>
  <c r="S56" i="24"/>
  <c r="S55" i="24"/>
  <c r="S54" i="24"/>
  <c r="S53" i="24"/>
  <c r="S52" i="24"/>
  <c r="S51" i="24"/>
  <c r="G208" i="24"/>
  <c r="G208" i="25" s="1"/>
  <c r="F208" i="24"/>
  <c r="G208" i="26" s="1"/>
  <c r="G207" i="24"/>
  <c r="F207" i="24"/>
  <c r="G206" i="24"/>
  <c r="F206" i="24"/>
  <c r="G205" i="24"/>
  <c r="F205" i="24"/>
  <c r="G204" i="24"/>
  <c r="F204" i="24"/>
  <c r="G203" i="24"/>
  <c r="F203" i="24"/>
  <c r="G202" i="24"/>
  <c r="F202" i="24"/>
  <c r="G201" i="24"/>
  <c r="F201" i="24"/>
  <c r="G200" i="24"/>
  <c r="F200" i="24"/>
  <c r="G199" i="24"/>
  <c r="F199" i="24"/>
  <c r="G198" i="24"/>
  <c r="F198" i="24"/>
  <c r="G197" i="24"/>
  <c r="F197" i="24"/>
  <c r="G196" i="24"/>
  <c r="F196" i="24"/>
  <c r="G195" i="24"/>
  <c r="F195" i="24"/>
  <c r="G194" i="24"/>
  <c r="F194" i="24"/>
  <c r="G193" i="24"/>
  <c r="F193" i="24"/>
  <c r="G192" i="24"/>
  <c r="F192" i="24"/>
  <c r="G189" i="24"/>
  <c r="F189" i="24"/>
  <c r="G187" i="24"/>
  <c r="F187" i="24"/>
  <c r="G186" i="24"/>
  <c r="F186" i="24"/>
  <c r="G184" i="25"/>
  <c r="H183" i="24"/>
  <c r="G181" i="24"/>
  <c r="F181" i="24"/>
  <c r="G179" i="24"/>
  <c r="F179" i="24"/>
  <c r="G178" i="24"/>
  <c r="F178" i="24"/>
  <c r="G177" i="24"/>
  <c r="F177" i="24"/>
  <c r="G176" i="24"/>
  <c r="F176" i="24"/>
  <c r="G175" i="24"/>
  <c r="F175" i="24"/>
  <c r="G174" i="24"/>
  <c r="F174" i="24"/>
  <c r="G173" i="24"/>
  <c r="F173" i="24"/>
  <c r="G167" i="24"/>
  <c r="F167" i="24"/>
  <c r="G166" i="24"/>
  <c r="F166" i="24"/>
  <c r="G165" i="24"/>
  <c r="F165" i="24"/>
  <c r="G160" i="24"/>
  <c r="F160" i="24"/>
  <c r="G154" i="24"/>
  <c r="F154" i="24"/>
  <c r="G153" i="24"/>
  <c r="F153" i="24"/>
  <c r="G149" i="24"/>
  <c r="F149" i="24"/>
  <c r="G146" i="24"/>
  <c r="F146" i="24"/>
  <c r="G145" i="24"/>
  <c r="F145" i="24"/>
  <c r="G132" i="24"/>
  <c r="F132" i="24"/>
  <c r="G127" i="24"/>
  <c r="F127" i="24"/>
  <c r="G120" i="24"/>
  <c r="F120" i="24"/>
  <c r="G118" i="24"/>
  <c r="F118" i="24"/>
  <c r="G117" i="24"/>
  <c r="F117" i="24"/>
  <c r="G116" i="24"/>
  <c r="F116" i="24"/>
  <c r="G115" i="24"/>
  <c r="F115" i="24"/>
  <c r="G114" i="24"/>
  <c r="F114" i="24"/>
  <c r="G113" i="24"/>
  <c r="F113" i="24"/>
  <c r="H110" i="24"/>
  <c r="F104" i="25"/>
  <c r="G92" i="24"/>
  <c r="F92" i="24"/>
  <c r="H42" i="24"/>
  <c r="H42" i="25" s="1"/>
  <c r="F42" i="25"/>
  <c r="G23" i="24"/>
  <c r="F23" i="24"/>
  <c r="U222" i="29"/>
  <c r="W222" i="29" s="1"/>
  <c r="O222" i="29"/>
  <c r="M222" i="29"/>
  <c r="G222" i="29"/>
  <c r="F222" i="29"/>
  <c r="U221" i="29"/>
  <c r="W221" i="29" s="1"/>
  <c r="O221" i="29"/>
  <c r="M221" i="29"/>
  <c r="J221" i="29"/>
  <c r="I221" i="29"/>
  <c r="H221" i="29"/>
  <c r="G221" i="29"/>
  <c r="F221" i="29"/>
  <c r="U220" i="29"/>
  <c r="W220" i="29" s="1"/>
  <c r="X219" i="29"/>
  <c r="U219" i="29"/>
  <c r="W219" i="29" s="1"/>
  <c r="O219" i="29"/>
  <c r="M219" i="29"/>
  <c r="G219" i="29"/>
  <c r="F219" i="29"/>
  <c r="U218" i="29"/>
  <c r="W218" i="29" s="1"/>
  <c r="X217" i="29"/>
  <c r="U217" i="29"/>
  <c r="W217" i="29" s="1"/>
  <c r="O217" i="29"/>
  <c r="M217" i="29"/>
  <c r="G217" i="29"/>
  <c r="F217" i="29"/>
  <c r="X216" i="29"/>
  <c r="U216" i="29"/>
  <c r="W216" i="29" s="1"/>
  <c r="O216" i="29"/>
  <c r="M216" i="29"/>
  <c r="G216" i="29"/>
  <c r="F216" i="29"/>
  <c r="X215" i="29"/>
  <c r="U215" i="29"/>
  <c r="W215" i="29" s="1"/>
  <c r="O215" i="29"/>
  <c r="M215" i="29"/>
  <c r="G215" i="29"/>
  <c r="F215" i="29"/>
  <c r="X214" i="29"/>
  <c r="U214" i="29"/>
  <c r="W214" i="29" s="1"/>
  <c r="O214" i="29"/>
  <c r="M214" i="29"/>
  <c r="G214" i="29"/>
  <c r="F214" i="29"/>
  <c r="X213" i="29"/>
  <c r="U213" i="29"/>
  <c r="W213" i="29" s="1"/>
  <c r="O213" i="29"/>
  <c r="M213" i="29"/>
  <c r="G213" i="29"/>
  <c r="F213" i="29"/>
  <c r="U212" i="29"/>
  <c r="W212" i="29" s="1"/>
  <c r="U210" i="29"/>
  <c r="W210" i="29" s="1"/>
  <c r="M210" i="29"/>
  <c r="G210" i="29"/>
  <c r="H210" i="29" s="1"/>
  <c r="I210" i="29" s="1"/>
  <c r="J210" i="29" s="1"/>
  <c r="F210" i="29"/>
  <c r="U209" i="29"/>
  <c r="W209" i="29" s="1"/>
  <c r="M209" i="29"/>
  <c r="G209" i="29"/>
  <c r="H209" i="29" s="1"/>
  <c r="I209" i="29" s="1"/>
  <c r="J209" i="29" s="1"/>
  <c r="F209" i="29"/>
  <c r="U208" i="29"/>
  <c r="W208" i="29" s="1"/>
  <c r="M208" i="29"/>
  <c r="G208" i="29"/>
  <c r="H208" i="29" s="1"/>
  <c r="I208" i="29" s="1"/>
  <c r="J208" i="29" s="1"/>
  <c r="F208" i="29"/>
  <c r="U207" i="29"/>
  <c r="W207" i="29" s="1"/>
  <c r="M207" i="29"/>
  <c r="G207" i="29"/>
  <c r="H207" i="29" s="1"/>
  <c r="I207" i="29" s="1"/>
  <c r="J207" i="29" s="1"/>
  <c r="F207" i="29"/>
  <c r="U206" i="29"/>
  <c r="W206" i="29" s="1"/>
  <c r="M206" i="29"/>
  <c r="G206" i="29"/>
  <c r="H206" i="29" s="1"/>
  <c r="I206" i="29" s="1"/>
  <c r="J206" i="29" s="1"/>
  <c r="F206" i="29"/>
  <c r="U205" i="29"/>
  <c r="W205" i="29" s="1"/>
  <c r="M205" i="29"/>
  <c r="G205" i="29"/>
  <c r="H205" i="29" s="1"/>
  <c r="I205" i="29" s="1"/>
  <c r="J205" i="29" s="1"/>
  <c r="F205" i="29"/>
  <c r="U204" i="29"/>
  <c r="W204" i="29" s="1"/>
  <c r="M204" i="29"/>
  <c r="G204" i="29"/>
  <c r="H204" i="29" s="1"/>
  <c r="I204" i="29" s="1"/>
  <c r="J204" i="29" s="1"/>
  <c r="F204" i="29"/>
  <c r="U203" i="29"/>
  <c r="W203" i="29" s="1"/>
  <c r="M203" i="29"/>
  <c r="G203" i="29"/>
  <c r="H203" i="29" s="1"/>
  <c r="I203" i="29" s="1"/>
  <c r="J203" i="29" s="1"/>
  <c r="F203" i="29"/>
  <c r="U202" i="29"/>
  <c r="W202" i="29" s="1"/>
  <c r="M202" i="29"/>
  <c r="G202" i="29"/>
  <c r="H202" i="29" s="1"/>
  <c r="I202" i="29" s="1"/>
  <c r="J202" i="29" s="1"/>
  <c r="F202" i="29"/>
  <c r="U201" i="29"/>
  <c r="W201" i="29" s="1"/>
  <c r="M201" i="29"/>
  <c r="G201" i="29"/>
  <c r="H201" i="29" s="1"/>
  <c r="I201" i="29" s="1"/>
  <c r="J201" i="29" s="1"/>
  <c r="F201" i="29"/>
  <c r="U200" i="29"/>
  <c r="W200" i="29" s="1"/>
  <c r="M200" i="29"/>
  <c r="G200" i="29"/>
  <c r="H200" i="29" s="1"/>
  <c r="I200" i="29" s="1"/>
  <c r="J200" i="29" s="1"/>
  <c r="F200" i="29"/>
  <c r="U199" i="29"/>
  <c r="W199" i="29" s="1"/>
  <c r="M199" i="29"/>
  <c r="G199" i="29"/>
  <c r="H199" i="29" s="1"/>
  <c r="I199" i="29" s="1"/>
  <c r="J199" i="29" s="1"/>
  <c r="F199" i="29"/>
  <c r="U198" i="29"/>
  <c r="W198" i="29" s="1"/>
  <c r="M198" i="29"/>
  <c r="G198" i="29"/>
  <c r="H198" i="29" s="1"/>
  <c r="I198" i="29" s="1"/>
  <c r="J198" i="29" s="1"/>
  <c r="F198" i="29"/>
  <c r="U197" i="29"/>
  <c r="W197" i="29" s="1"/>
  <c r="M197" i="29"/>
  <c r="G197" i="29"/>
  <c r="H197" i="29" s="1"/>
  <c r="I197" i="29" s="1"/>
  <c r="J197" i="29" s="1"/>
  <c r="F197" i="29"/>
  <c r="U196" i="29"/>
  <c r="W196" i="29" s="1"/>
  <c r="M196" i="29"/>
  <c r="G196" i="29"/>
  <c r="H196" i="29" s="1"/>
  <c r="I196" i="29" s="1"/>
  <c r="J196" i="29" s="1"/>
  <c r="F196" i="29"/>
  <c r="U195" i="29"/>
  <c r="W195" i="29" s="1"/>
  <c r="M195" i="29"/>
  <c r="G195" i="29"/>
  <c r="H195" i="29" s="1"/>
  <c r="I195" i="29" s="1"/>
  <c r="J195" i="29" s="1"/>
  <c r="F195" i="29"/>
  <c r="U194" i="29"/>
  <c r="W194" i="29" s="1"/>
  <c r="U193" i="29"/>
  <c r="W193" i="29" s="1"/>
  <c r="O193" i="29"/>
  <c r="M193" i="29"/>
  <c r="G193" i="29"/>
  <c r="F193" i="29"/>
  <c r="U192" i="29"/>
  <c r="W192" i="29" s="1"/>
  <c r="O192" i="29"/>
  <c r="M192" i="29"/>
  <c r="G192" i="29"/>
  <c r="F192" i="29"/>
  <c r="U191" i="29"/>
  <c r="W191" i="29" s="1"/>
  <c r="O191" i="29"/>
  <c r="M191" i="29"/>
  <c r="G191" i="29"/>
  <c r="F191" i="29"/>
  <c r="U190" i="29"/>
  <c r="W190" i="29" s="1"/>
  <c r="O190" i="29"/>
  <c r="M190" i="29"/>
  <c r="G190" i="29"/>
  <c r="F190" i="29"/>
  <c r="S189" i="29"/>
  <c r="U189" i="29" s="1"/>
  <c r="W189" i="29" s="1"/>
  <c r="O189" i="29"/>
  <c r="M189" i="29"/>
  <c r="G189" i="29"/>
  <c r="F189" i="29"/>
  <c r="U188" i="29"/>
  <c r="W188" i="29" s="1"/>
  <c r="G187" i="29"/>
  <c r="F187" i="29"/>
  <c r="U186" i="29"/>
  <c r="W186" i="29" s="1"/>
  <c r="M186" i="29"/>
  <c r="G186" i="29"/>
  <c r="F186" i="29"/>
  <c r="X185" i="29"/>
  <c r="U185" i="29"/>
  <c r="W185" i="29" s="1"/>
  <c r="G185" i="29"/>
  <c r="F185" i="29"/>
  <c r="X184" i="29"/>
  <c r="U184" i="29"/>
  <c r="W184" i="29" s="1"/>
  <c r="G184" i="29"/>
  <c r="F184" i="29"/>
  <c r="X183" i="29"/>
  <c r="U183" i="29"/>
  <c r="W183" i="29" s="1"/>
  <c r="G183" i="29"/>
  <c r="F183" i="29"/>
  <c r="X182" i="29"/>
  <c r="U182" i="29"/>
  <c r="W182" i="29" s="1"/>
  <c r="G182" i="29"/>
  <c r="F182" i="29"/>
  <c r="X181" i="29"/>
  <c r="U181" i="29"/>
  <c r="W181" i="29" s="1"/>
  <c r="G181" i="29"/>
  <c r="F181" i="29"/>
  <c r="X180" i="29"/>
  <c r="U180" i="29"/>
  <c r="W180" i="29" s="1"/>
  <c r="G180" i="29"/>
  <c r="F180" i="29"/>
  <c r="X179" i="29"/>
  <c r="U179" i="29"/>
  <c r="W179" i="29" s="1"/>
  <c r="G179" i="29"/>
  <c r="F179" i="29"/>
  <c r="X178" i="29"/>
  <c r="U178" i="29"/>
  <c r="W178" i="29" s="1"/>
  <c r="G178" i="29"/>
  <c r="F178" i="29"/>
  <c r="X177" i="29"/>
  <c r="U177" i="29"/>
  <c r="W177" i="29" s="1"/>
  <c r="G177" i="29"/>
  <c r="F177" i="29"/>
  <c r="X176" i="29"/>
  <c r="U176" i="29"/>
  <c r="W176" i="29" s="1"/>
  <c r="G176" i="29"/>
  <c r="F176" i="29"/>
  <c r="U175" i="29"/>
  <c r="W175" i="29" s="1"/>
  <c r="X174" i="29"/>
  <c r="U174" i="29"/>
  <c r="W174" i="29" s="1"/>
  <c r="G174" i="29"/>
  <c r="F174" i="29"/>
  <c r="X173" i="29"/>
  <c r="U173" i="29"/>
  <c r="W173" i="29" s="1"/>
  <c r="G173" i="29"/>
  <c r="F173" i="29"/>
  <c r="X172" i="29"/>
  <c r="U172" i="29"/>
  <c r="W172" i="29" s="1"/>
  <c r="G172" i="29"/>
  <c r="F172" i="29"/>
  <c r="X171" i="29"/>
  <c r="U171" i="29"/>
  <c r="W171" i="29" s="1"/>
  <c r="G171" i="29"/>
  <c r="F171" i="29"/>
  <c r="X170" i="29"/>
  <c r="U170" i="29"/>
  <c r="W170" i="29" s="1"/>
  <c r="O170" i="29"/>
  <c r="M170" i="29"/>
  <c r="G170" i="29"/>
  <c r="F170" i="29"/>
  <c r="X169" i="29"/>
  <c r="U169" i="29"/>
  <c r="W169" i="29" s="1"/>
  <c r="O169" i="29"/>
  <c r="M169" i="29"/>
  <c r="G169" i="29"/>
  <c r="F169" i="29"/>
  <c r="X168" i="29"/>
  <c r="U168" i="29"/>
  <c r="W168" i="29" s="1"/>
  <c r="O168" i="29"/>
  <c r="M168" i="29"/>
  <c r="G168" i="29"/>
  <c r="F168" i="29"/>
  <c r="X167" i="29"/>
  <c r="U167" i="29"/>
  <c r="W167" i="29" s="1"/>
  <c r="O167" i="29"/>
  <c r="M167" i="29"/>
  <c r="G167" i="29"/>
  <c r="F167" i="29"/>
  <c r="X166" i="29"/>
  <c r="U166" i="29"/>
  <c r="W166" i="29" s="1"/>
  <c r="O166" i="29"/>
  <c r="M166" i="29"/>
  <c r="G166" i="29"/>
  <c r="F166" i="29"/>
  <c r="X165" i="29"/>
  <c r="U165" i="29"/>
  <c r="W165" i="29" s="1"/>
  <c r="O165" i="29"/>
  <c r="M165" i="29"/>
  <c r="G165" i="29"/>
  <c r="F165" i="29"/>
  <c r="X164" i="29"/>
  <c r="U164" i="29"/>
  <c r="W164" i="29" s="1"/>
  <c r="O164" i="29"/>
  <c r="M164" i="29"/>
  <c r="G164" i="29"/>
  <c r="F164" i="29"/>
  <c r="X163" i="29"/>
  <c r="U163" i="29"/>
  <c r="W163" i="29" s="1"/>
  <c r="O163" i="29"/>
  <c r="M163" i="29"/>
  <c r="G163" i="29"/>
  <c r="F163" i="29"/>
  <c r="X162" i="29"/>
  <c r="U162" i="29"/>
  <c r="W162" i="29" s="1"/>
  <c r="O162" i="29"/>
  <c r="M162" i="29"/>
  <c r="G162" i="29"/>
  <c r="F162" i="29"/>
  <c r="X161" i="29"/>
  <c r="U161" i="29"/>
  <c r="W161" i="29" s="1"/>
  <c r="O161" i="29"/>
  <c r="M161" i="29"/>
  <c r="G161" i="29"/>
  <c r="F161" i="29"/>
  <c r="X160" i="29"/>
  <c r="U160" i="29"/>
  <c r="W160" i="29" s="1"/>
  <c r="O160" i="29"/>
  <c r="M160" i="29"/>
  <c r="G160" i="29"/>
  <c r="F160" i="29"/>
  <c r="X159" i="29"/>
  <c r="U159" i="29"/>
  <c r="W159" i="29" s="1"/>
  <c r="G159" i="29"/>
  <c r="F159" i="29"/>
  <c r="U158" i="29"/>
  <c r="W158" i="29" s="1"/>
  <c r="X157" i="29"/>
  <c r="U157" i="29"/>
  <c r="W157" i="29" s="1"/>
  <c r="O157" i="29"/>
  <c r="M157" i="29"/>
  <c r="G157" i="29"/>
  <c r="F157" i="29"/>
  <c r="X156" i="29"/>
  <c r="U156" i="29"/>
  <c r="W156" i="29" s="1"/>
  <c r="O156" i="29"/>
  <c r="M156" i="29"/>
  <c r="G156" i="29"/>
  <c r="F156" i="29"/>
  <c r="U155" i="29"/>
  <c r="W155" i="29" s="1"/>
  <c r="G155" i="29"/>
  <c r="F155" i="29"/>
  <c r="X154" i="29"/>
  <c r="U154" i="29"/>
  <c r="W154" i="29" s="1"/>
  <c r="O154" i="29"/>
  <c r="M154" i="29"/>
  <c r="G154" i="29"/>
  <c r="F154" i="29"/>
  <c r="X153" i="29"/>
  <c r="U153" i="29"/>
  <c r="W153" i="29" s="1"/>
  <c r="O153" i="29"/>
  <c r="M153" i="29"/>
  <c r="G153" i="29"/>
  <c r="F153" i="29"/>
  <c r="X152" i="29"/>
  <c r="U152" i="29"/>
  <c r="W152" i="29" s="1"/>
  <c r="O152" i="29"/>
  <c r="M152" i="29"/>
  <c r="G152" i="29"/>
  <c r="F152" i="29"/>
  <c r="X151" i="29"/>
  <c r="U151" i="29"/>
  <c r="W151" i="29" s="1"/>
  <c r="O151" i="29"/>
  <c r="M151" i="29"/>
  <c r="G151" i="29"/>
  <c r="F151" i="29"/>
  <c r="U150" i="29"/>
  <c r="W150" i="29" s="1"/>
  <c r="O150" i="29"/>
  <c r="M150" i="29"/>
  <c r="G150" i="29"/>
  <c r="F150" i="29"/>
  <c r="X149" i="29"/>
  <c r="U149" i="29"/>
  <c r="W149" i="29" s="1"/>
  <c r="O149" i="29"/>
  <c r="M149" i="29"/>
  <c r="G149" i="29"/>
  <c r="F149" i="29"/>
  <c r="X148" i="29"/>
  <c r="U148" i="29"/>
  <c r="W148" i="29" s="1"/>
  <c r="O148" i="29"/>
  <c r="M148" i="29"/>
  <c r="G148" i="29"/>
  <c r="F148" i="29"/>
  <c r="X147" i="29"/>
  <c r="U147" i="29"/>
  <c r="W147" i="29" s="1"/>
  <c r="O147" i="29"/>
  <c r="M147" i="29"/>
  <c r="G147" i="29"/>
  <c r="F147" i="29"/>
  <c r="X146" i="29"/>
  <c r="U146" i="29"/>
  <c r="W146" i="29" s="1"/>
  <c r="O146" i="29"/>
  <c r="M146" i="29"/>
  <c r="G146" i="29"/>
  <c r="F146" i="29"/>
  <c r="X145" i="29"/>
  <c r="U145" i="29"/>
  <c r="W145" i="29" s="1"/>
  <c r="O145" i="29"/>
  <c r="M145" i="29"/>
  <c r="G145" i="29"/>
  <c r="F145" i="29"/>
  <c r="X144" i="29"/>
  <c r="R144" i="29"/>
  <c r="U144" i="29" s="1"/>
  <c r="W144" i="29" s="1"/>
  <c r="O144" i="29"/>
  <c r="M144" i="29"/>
  <c r="G144" i="29"/>
  <c r="F144" i="29"/>
  <c r="X143" i="29"/>
  <c r="U143" i="29"/>
  <c r="W143" i="29" s="1"/>
  <c r="O143" i="29"/>
  <c r="M143" i="29"/>
  <c r="G143" i="29"/>
  <c r="F143" i="29"/>
  <c r="S142" i="29"/>
  <c r="U142" i="29" s="1"/>
  <c r="W142" i="29" s="1"/>
  <c r="O142" i="29"/>
  <c r="M142" i="29"/>
  <c r="G142" i="29"/>
  <c r="F142" i="29"/>
  <c r="U141" i="29"/>
  <c r="W141" i="29" s="1"/>
  <c r="U140" i="29"/>
  <c r="W140" i="29" s="1"/>
  <c r="O140" i="29"/>
  <c r="M140" i="29"/>
  <c r="G140" i="29"/>
  <c r="F140" i="29"/>
  <c r="U139" i="29"/>
  <c r="W139" i="29" s="1"/>
  <c r="O139" i="29"/>
  <c r="M139" i="29"/>
  <c r="G139" i="29"/>
  <c r="F139" i="29"/>
  <c r="U138" i="29"/>
  <c r="W138" i="29" s="1"/>
  <c r="O138" i="29"/>
  <c r="M138" i="29"/>
  <c r="G138" i="29"/>
  <c r="F138" i="29"/>
  <c r="U137" i="29"/>
  <c r="W137" i="29" s="1"/>
  <c r="O137" i="29"/>
  <c r="M137" i="29"/>
  <c r="G137" i="29"/>
  <c r="F137" i="29"/>
  <c r="U136" i="29"/>
  <c r="W136" i="29" s="1"/>
  <c r="O136" i="29"/>
  <c r="M136" i="29"/>
  <c r="G136" i="29"/>
  <c r="F136" i="29"/>
  <c r="U135" i="29"/>
  <c r="W135" i="29" s="1"/>
  <c r="O135" i="29"/>
  <c r="M135" i="29"/>
  <c r="G135" i="29"/>
  <c r="F135" i="29"/>
  <c r="AC134" i="29"/>
  <c r="U134" i="29"/>
  <c r="W134" i="29" s="1"/>
  <c r="O134" i="29"/>
  <c r="M134" i="29"/>
  <c r="G134" i="29"/>
  <c r="F134" i="29"/>
  <c r="AC133" i="29"/>
  <c r="U133" i="29"/>
  <c r="W133" i="29" s="1"/>
  <c r="O133" i="29"/>
  <c r="M133" i="29"/>
  <c r="G133" i="29"/>
  <c r="F133" i="29"/>
  <c r="U132" i="29"/>
  <c r="W132" i="29" s="1"/>
  <c r="X131" i="29"/>
  <c r="U131" i="29"/>
  <c r="W131" i="29" s="1"/>
  <c r="G131" i="29"/>
  <c r="F131" i="29"/>
  <c r="AA130" i="29"/>
  <c r="X130" i="29"/>
  <c r="U130" i="29"/>
  <c r="W130" i="29" s="1"/>
  <c r="M130" i="29"/>
  <c r="G130" i="29"/>
  <c r="F130" i="29"/>
  <c r="AA129" i="29"/>
  <c r="AA131" i="29" s="1"/>
  <c r="AA132" i="29" s="1"/>
  <c r="AA133" i="29" s="1"/>
  <c r="AA134" i="29" s="1"/>
  <c r="X129" i="29"/>
  <c r="S129" i="29"/>
  <c r="U129" i="29" s="1"/>
  <c r="W129" i="29" s="1"/>
  <c r="O129" i="29"/>
  <c r="M129" i="29"/>
  <c r="G129" i="29"/>
  <c r="F129" i="29"/>
  <c r="X128" i="29"/>
  <c r="U128" i="29"/>
  <c r="W128" i="29" s="1"/>
  <c r="M128" i="29"/>
  <c r="G128" i="29"/>
  <c r="F128" i="29"/>
  <c r="X127" i="29"/>
  <c r="U127" i="29"/>
  <c r="W127" i="29" s="1"/>
  <c r="M127" i="29"/>
  <c r="G127" i="29"/>
  <c r="F127" i="29"/>
  <c r="U126" i="29"/>
  <c r="W126" i="29" s="1"/>
  <c r="U125" i="29"/>
  <c r="W125" i="29" s="1"/>
  <c r="U124" i="29"/>
  <c r="W124" i="29" s="1"/>
  <c r="U123" i="29"/>
  <c r="W123" i="29" s="1"/>
  <c r="U122" i="29"/>
  <c r="W122" i="29" s="1"/>
  <c r="U121" i="29"/>
  <c r="W121" i="29" s="1"/>
  <c r="U120" i="29"/>
  <c r="W120" i="29" s="1"/>
  <c r="S119" i="29"/>
  <c r="U119" i="29" s="1"/>
  <c r="W119" i="29" s="1"/>
  <c r="O119" i="29"/>
  <c r="M119" i="29"/>
  <c r="G119" i="29"/>
  <c r="F119" i="29"/>
  <c r="S118" i="29"/>
  <c r="U118" i="29" s="1"/>
  <c r="W118" i="29" s="1"/>
  <c r="O118" i="29"/>
  <c r="M118" i="29"/>
  <c r="G118" i="29"/>
  <c r="F118" i="29"/>
  <c r="S117" i="29"/>
  <c r="U117" i="29" s="1"/>
  <c r="W117" i="29" s="1"/>
  <c r="O117" i="29"/>
  <c r="M117" i="29"/>
  <c r="G117" i="29"/>
  <c r="F117" i="29"/>
  <c r="S116" i="29"/>
  <c r="U116" i="29" s="1"/>
  <c r="W116" i="29" s="1"/>
  <c r="O116" i="29"/>
  <c r="M116" i="29"/>
  <c r="G116" i="29"/>
  <c r="F116" i="29"/>
  <c r="S115" i="29"/>
  <c r="U115" i="29" s="1"/>
  <c r="W115" i="29" s="1"/>
  <c r="O115" i="29"/>
  <c r="M115" i="29"/>
  <c r="G115" i="29"/>
  <c r="F115" i="29"/>
  <c r="S114" i="29"/>
  <c r="U114" i="29" s="1"/>
  <c r="W114" i="29" s="1"/>
  <c r="O114" i="29"/>
  <c r="M114" i="29"/>
  <c r="G114" i="29"/>
  <c r="F114" i="29"/>
  <c r="S113" i="29"/>
  <c r="U113" i="29" s="1"/>
  <c r="W113" i="29" s="1"/>
  <c r="O113" i="29"/>
  <c r="M113" i="29"/>
  <c r="G113" i="29"/>
  <c r="F113" i="29"/>
  <c r="S112" i="29"/>
  <c r="U112" i="29" s="1"/>
  <c r="W112" i="29" s="1"/>
  <c r="O112" i="29"/>
  <c r="M112" i="29"/>
  <c r="G112" i="29"/>
  <c r="F112" i="29"/>
  <c r="U111" i="29"/>
  <c r="W111" i="29" s="1"/>
  <c r="U110" i="29"/>
  <c r="W110" i="29" s="1"/>
  <c r="U109" i="29"/>
  <c r="W109" i="29" s="1"/>
  <c r="G109" i="29"/>
  <c r="F109" i="29"/>
  <c r="U108" i="29"/>
  <c r="W108" i="29" s="1"/>
  <c r="G108" i="29"/>
  <c r="F108" i="29"/>
  <c r="U107" i="29"/>
  <c r="W107" i="29" s="1"/>
  <c r="G107" i="29"/>
  <c r="F107" i="29"/>
  <c r="U106" i="29"/>
  <c r="W106" i="29" s="1"/>
  <c r="G106" i="29"/>
  <c r="F106" i="29"/>
  <c r="U105" i="29"/>
  <c r="W105" i="29" s="1"/>
  <c r="G105" i="29"/>
  <c r="F105" i="29"/>
  <c r="U104" i="29"/>
  <c r="W104" i="29" s="1"/>
  <c r="G104" i="29"/>
  <c r="F104" i="29"/>
  <c r="U103" i="29"/>
  <c r="W103" i="29" s="1"/>
  <c r="G103" i="29"/>
  <c r="F103" i="29"/>
  <c r="U102" i="29"/>
  <c r="W102" i="29" s="1"/>
  <c r="G102" i="29"/>
  <c r="F102" i="29"/>
  <c r="U101" i="29"/>
  <c r="W101" i="29" s="1"/>
  <c r="G101" i="29"/>
  <c r="F101" i="29"/>
  <c r="U100" i="29"/>
  <c r="W100" i="29" s="1"/>
  <c r="X99" i="29"/>
  <c r="T99" i="29"/>
  <c r="U99" i="29" s="1"/>
  <c r="W99" i="29" s="1"/>
  <c r="O99" i="29"/>
  <c r="M99" i="29"/>
  <c r="G99" i="29"/>
  <c r="F99" i="29"/>
  <c r="X98" i="29"/>
  <c r="T98" i="29"/>
  <c r="U98" i="29" s="1"/>
  <c r="W98" i="29" s="1"/>
  <c r="O98" i="29"/>
  <c r="M98" i="29"/>
  <c r="G98" i="29"/>
  <c r="F98" i="29"/>
  <c r="X97" i="29"/>
  <c r="T97" i="29"/>
  <c r="U97" i="29" s="1"/>
  <c r="W97" i="29" s="1"/>
  <c r="O97" i="29"/>
  <c r="M97" i="29"/>
  <c r="G97" i="29"/>
  <c r="F97" i="29"/>
  <c r="X96" i="29"/>
  <c r="T96" i="29"/>
  <c r="U96" i="29" s="1"/>
  <c r="W96" i="29" s="1"/>
  <c r="O96" i="29"/>
  <c r="M96" i="29"/>
  <c r="G96" i="29"/>
  <c r="F96" i="29"/>
  <c r="X95" i="29"/>
  <c r="T95" i="29"/>
  <c r="U95" i="29" s="1"/>
  <c r="W95" i="29" s="1"/>
  <c r="O95" i="29"/>
  <c r="M95" i="29"/>
  <c r="G95" i="29"/>
  <c r="F95" i="29"/>
  <c r="X94" i="29"/>
  <c r="T94" i="29"/>
  <c r="U94" i="29" s="1"/>
  <c r="W94" i="29" s="1"/>
  <c r="O94" i="29"/>
  <c r="M94" i="29"/>
  <c r="G94" i="29"/>
  <c r="F94" i="29"/>
  <c r="X93" i="29"/>
  <c r="T93" i="29"/>
  <c r="U93" i="29" s="1"/>
  <c r="W93" i="29" s="1"/>
  <c r="O93" i="29"/>
  <c r="M93" i="29"/>
  <c r="G93" i="29"/>
  <c r="F93" i="29"/>
  <c r="X92" i="29"/>
  <c r="U92" i="29"/>
  <c r="W92" i="29" s="1"/>
  <c r="O92" i="29"/>
  <c r="M92" i="29"/>
  <c r="G92" i="29"/>
  <c r="F92" i="29"/>
  <c r="X91" i="29"/>
  <c r="T91" i="29"/>
  <c r="U91" i="29" s="1"/>
  <c r="W91" i="29" s="1"/>
  <c r="O91" i="29"/>
  <c r="M91" i="29"/>
  <c r="G91" i="29"/>
  <c r="F91" i="29"/>
  <c r="X90" i="29"/>
  <c r="T90" i="29"/>
  <c r="U90" i="29" s="1"/>
  <c r="W90" i="29" s="1"/>
  <c r="O90" i="29"/>
  <c r="M90" i="29"/>
  <c r="G90" i="29"/>
  <c r="F90" i="29"/>
  <c r="X89" i="29"/>
  <c r="U89" i="29"/>
  <c r="W89" i="29" s="1"/>
  <c r="O89" i="29"/>
  <c r="M89" i="29"/>
  <c r="G89" i="29"/>
  <c r="F89" i="29"/>
  <c r="X88" i="29"/>
  <c r="U88" i="29"/>
  <c r="W88" i="29" s="1"/>
  <c r="O88" i="29"/>
  <c r="M88" i="29"/>
  <c r="G88" i="29"/>
  <c r="F88" i="29"/>
  <c r="AA88" i="29" s="1"/>
  <c r="U87" i="29"/>
  <c r="W87" i="29" s="1"/>
  <c r="O87" i="29"/>
  <c r="M87" i="29"/>
  <c r="G87" i="29"/>
  <c r="F87" i="29"/>
  <c r="U86" i="29"/>
  <c r="W86" i="29" s="1"/>
  <c r="O86" i="29"/>
  <c r="M86" i="29"/>
  <c r="G86" i="29"/>
  <c r="F86" i="29"/>
  <c r="U85" i="29"/>
  <c r="W85" i="29" s="1"/>
  <c r="O85" i="29"/>
  <c r="M85" i="29"/>
  <c r="G85" i="29"/>
  <c r="F85" i="29"/>
  <c r="X84" i="29"/>
  <c r="U84" i="29"/>
  <c r="W84" i="29" s="1"/>
  <c r="O84" i="29"/>
  <c r="M84" i="29"/>
  <c r="G84" i="29"/>
  <c r="F84" i="29"/>
  <c r="U83" i="29"/>
  <c r="W83" i="29" s="1"/>
  <c r="U82" i="29"/>
  <c r="W82" i="29" s="1"/>
  <c r="O82" i="29"/>
  <c r="M82" i="29"/>
  <c r="G82" i="29"/>
  <c r="F82" i="29"/>
  <c r="U81" i="29"/>
  <c r="W81" i="29" s="1"/>
  <c r="O81" i="29"/>
  <c r="M81" i="29"/>
  <c r="G81" i="29"/>
  <c r="F81" i="29"/>
  <c r="U80" i="29"/>
  <c r="W80" i="29" s="1"/>
  <c r="O80" i="29"/>
  <c r="M80" i="29"/>
  <c r="G80" i="29"/>
  <c r="F80" i="29"/>
  <c r="U79" i="29"/>
  <c r="W79" i="29" s="1"/>
  <c r="O79" i="29"/>
  <c r="M79" i="29"/>
  <c r="G79" i="29"/>
  <c r="F79" i="29"/>
  <c r="U78" i="29"/>
  <c r="W78" i="29" s="1"/>
  <c r="O78" i="29"/>
  <c r="M78" i="29"/>
  <c r="G78" i="29"/>
  <c r="F78" i="29"/>
  <c r="U77" i="29"/>
  <c r="W77" i="29" s="1"/>
  <c r="O77" i="29"/>
  <c r="M77" i="29"/>
  <c r="G77" i="29"/>
  <c r="F77" i="29"/>
  <c r="U76" i="29"/>
  <c r="W76" i="29" s="1"/>
  <c r="O76" i="29"/>
  <c r="M76" i="29"/>
  <c r="G76" i="29"/>
  <c r="F76" i="29"/>
  <c r="U75" i="29"/>
  <c r="W75" i="29" s="1"/>
  <c r="O75" i="29"/>
  <c r="M75" i="29"/>
  <c r="G75" i="29"/>
  <c r="F75" i="29"/>
  <c r="U74" i="29"/>
  <c r="W74" i="29" s="1"/>
  <c r="U73" i="29"/>
  <c r="W73" i="29" s="1"/>
  <c r="J73" i="29"/>
  <c r="I73" i="29"/>
  <c r="H73" i="29"/>
  <c r="G73" i="29"/>
  <c r="F73" i="29"/>
  <c r="U72" i="29"/>
  <c r="W72" i="29" s="1"/>
  <c r="J72" i="29"/>
  <c r="I72" i="29"/>
  <c r="H72" i="29"/>
  <c r="G72" i="29"/>
  <c r="F72" i="29"/>
  <c r="U71" i="29"/>
  <c r="W71" i="29" s="1"/>
  <c r="X70" i="29"/>
  <c r="S70" i="29"/>
  <c r="U70" i="29" s="1"/>
  <c r="W70" i="29" s="1"/>
  <c r="O70" i="29"/>
  <c r="M70" i="29"/>
  <c r="G70" i="29"/>
  <c r="F70" i="29"/>
  <c r="X69" i="29"/>
  <c r="S69" i="29"/>
  <c r="U69" i="29" s="1"/>
  <c r="W69" i="29" s="1"/>
  <c r="O69" i="29"/>
  <c r="M69" i="29"/>
  <c r="G69" i="29"/>
  <c r="F69" i="29"/>
  <c r="X68" i="29"/>
  <c r="S68" i="29"/>
  <c r="U68" i="29" s="1"/>
  <c r="W68" i="29" s="1"/>
  <c r="O68" i="29"/>
  <c r="M68" i="29"/>
  <c r="G68" i="29"/>
  <c r="F68" i="29"/>
  <c r="U67" i="29"/>
  <c r="W67" i="29" s="1"/>
  <c r="X66" i="29"/>
  <c r="S66" i="29"/>
  <c r="U66" i="29" s="1"/>
  <c r="W66" i="29" s="1"/>
  <c r="O66" i="29"/>
  <c r="M66" i="29"/>
  <c r="G66" i="29"/>
  <c r="F66" i="29"/>
  <c r="S65" i="29"/>
  <c r="U65" i="29" s="1"/>
  <c r="W65" i="29" s="1"/>
  <c r="O65" i="29"/>
  <c r="M65" i="29"/>
  <c r="G65" i="29"/>
  <c r="F65" i="29"/>
  <c r="S64" i="29"/>
  <c r="U64" i="29" s="1"/>
  <c r="W64" i="29" s="1"/>
  <c r="O64" i="29"/>
  <c r="M64" i="29"/>
  <c r="G64" i="29"/>
  <c r="F64" i="29"/>
  <c r="S63" i="29"/>
  <c r="U63" i="29" s="1"/>
  <c r="W63" i="29" s="1"/>
  <c r="O63" i="29"/>
  <c r="M63" i="29"/>
  <c r="G63" i="29"/>
  <c r="F63" i="29"/>
  <c r="S62" i="29"/>
  <c r="U62" i="29" s="1"/>
  <c r="W62" i="29" s="1"/>
  <c r="O62" i="29"/>
  <c r="M62" i="29"/>
  <c r="G62" i="29"/>
  <c r="F62" i="29"/>
  <c r="S61" i="29"/>
  <c r="U61" i="29" s="1"/>
  <c r="W61" i="29" s="1"/>
  <c r="O61" i="29"/>
  <c r="M61" i="29"/>
  <c r="G61" i="29"/>
  <c r="F61" i="29"/>
  <c r="S60" i="29"/>
  <c r="U60" i="29" s="1"/>
  <c r="W60" i="29" s="1"/>
  <c r="O60" i="29"/>
  <c r="M60" i="29"/>
  <c r="G60" i="29"/>
  <c r="F60" i="29"/>
  <c r="S59" i="29"/>
  <c r="U59" i="29" s="1"/>
  <c r="W59" i="29" s="1"/>
  <c r="O59" i="29"/>
  <c r="M59" i="29"/>
  <c r="G59" i="29"/>
  <c r="F59" i="29"/>
  <c r="S58" i="29"/>
  <c r="U58" i="29" s="1"/>
  <c r="W58" i="29" s="1"/>
  <c r="O58" i="29"/>
  <c r="M58" i="29"/>
  <c r="G58" i="29"/>
  <c r="F58" i="29"/>
  <c r="X57" i="29"/>
  <c r="S57" i="29"/>
  <c r="U57" i="29" s="1"/>
  <c r="W57" i="29" s="1"/>
  <c r="O57" i="29"/>
  <c r="M57" i="29"/>
  <c r="G57" i="29"/>
  <c r="F57" i="29"/>
  <c r="X56" i="29"/>
  <c r="S56" i="29"/>
  <c r="U56" i="29" s="1"/>
  <c r="W56" i="29" s="1"/>
  <c r="O56" i="29"/>
  <c r="M56" i="29"/>
  <c r="G56" i="29"/>
  <c r="F56" i="29"/>
  <c r="X55" i="29"/>
  <c r="S55" i="29"/>
  <c r="U55" i="29" s="1"/>
  <c r="W55" i="29" s="1"/>
  <c r="O55" i="29"/>
  <c r="M55" i="29"/>
  <c r="G55" i="29"/>
  <c r="F55" i="29"/>
  <c r="X54" i="29"/>
  <c r="S54" i="29"/>
  <c r="U54" i="29" s="1"/>
  <c r="W54" i="29" s="1"/>
  <c r="O54" i="29"/>
  <c r="M54" i="29"/>
  <c r="G54" i="29"/>
  <c r="F54" i="29"/>
  <c r="X53" i="29"/>
  <c r="S53" i="29"/>
  <c r="U53" i="29" s="1"/>
  <c r="W53" i="29" s="1"/>
  <c r="O53" i="29"/>
  <c r="M53" i="29"/>
  <c r="G53" i="29"/>
  <c r="F53" i="29"/>
  <c r="X52" i="29"/>
  <c r="S52" i="29"/>
  <c r="U52" i="29" s="1"/>
  <c r="W52" i="29" s="1"/>
  <c r="O52" i="29"/>
  <c r="M52" i="29"/>
  <c r="G52" i="29"/>
  <c r="F52" i="29"/>
  <c r="X51" i="29"/>
  <c r="S51" i="29"/>
  <c r="U51" i="29" s="1"/>
  <c r="W51" i="29" s="1"/>
  <c r="O51" i="29"/>
  <c r="M51" i="29"/>
  <c r="G51" i="29"/>
  <c r="F51" i="29"/>
  <c r="U50" i="29"/>
  <c r="W50" i="29" s="1"/>
  <c r="X49" i="29"/>
  <c r="S49" i="29"/>
  <c r="U49" i="29" s="1"/>
  <c r="W49" i="29" s="1"/>
  <c r="O49" i="29"/>
  <c r="M49" i="29"/>
  <c r="G49" i="29"/>
  <c r="F49" i="29"/>
  <c r="X48" i="29"/>
  <c r="S48" i="29"/>
  <c r="U48" i="29" s="1"/>
  <c r="W48" i="29" s="1"/>
  <c r="O48" i="29"/>
  <c r="M48" i="29"/>
  <c r="G48" i="29"/>
  <c r="F48" i="29"/>
  <c r="X47" i="29"/>
  <c r="S47" i="29"/>
  <c r="U47" i="29" s="1"/>
  <c r="W47" i="29" s="1"/>
  <c r="O47" i="29"/>
  <c r="M47" i="29"/>
  <c r="G47" i="29"/>
  <c r="F47" i="29"/>
  <c r="X46" i="29"/>
  <c r="S46" i="29"/>
  <c r="U46" i="29" s="1"/>
  <c r="W46" i="29" s="1"/>
  <c r="O46" i="29"/>
  <c r="M46" i="29"/>
  <c r="G46" i="29"/>
  <c r="F46" i="29"/>
  <c r="X45" i="29"/>
  <c r="S45" i="29"/>
  <c r="U45" i="29" s="1"/>
  <c r="W45" i="29" s="1"/>
  <c r="O45" i="29"/>
  <c r="M45" i="29"/>
  <c r="G45" i="29"/>
  <c r="F45" i="29"/>
  <c r="X44" i="29"/>
  <c r="U44" i="29"/>
  <c r="W44" i="29" s="1"/>
  <c r="O44" i="29"/>
  <c r="M44" i="29"/>
  <c r="G44" i="29"/>
  <c r="F44" i="29"/>
  <c r="U43" i="29"/>
  <c r="W43" i="29" s="1"/>
  <c r="J42" i="29"/>
  <c r="I42" i="29"/>
  <c r="H42" i="29"/>
  <c r="U41" i="29"/>
  <c r="W41" i="29" s="1"/>
  <c r="O41" i="29"/>
  <c r="M41" i="29"/>
  <c r="G41" i="29"/>
  <c r="F41" i="29"/>
  <c r="X40" i="29"/>
  <c r="U40" i="29"/>
  <c r="W40" i="29" s="1"/>
  <c r="O40" i="29"/>
  <c r="M40" i="29"/>
  <c r="G40" i="29"/>
  <c r="F40" i="29"/>
  <c r="X39" i="29"/>
  <c r="U39" i="29"/>
  <c r="W39" i="29" s="1"/>
  <c r="O39" i="29"/>
  <c r="M39" i="29"/>
  <c r="G39" i="29"/>
  <c r="F39" i="29"/>
  <c r="X38" i="29"/>
  <c r="S38" i="29"/>
  <c r="R38" i="29"/>
  <c r="U38" i="29" s="1"/>
  <c r="W38" i="29" s="1"/>
  <c r="O38" i="29"/>
  <c r="M38" i="29"/>
  <c r="G38" i="29"/>
  <c r="F38" i="29"/>
  <c r="X37" i="29"/>
  <c r="U37" i="29"/>
  <c r="W37" i="29" s="1"/>
  <c r="O37" i="29"/>
  <c r="M37" i="29"/>
  <c r="G37" i="29"/>
  <c r="F37" i="29"/>
  <c r="AA37" i="29" s="1"/>
  <c r="X36" i="29"/>
  <c r="S36" i="29"/>
  <c r="U36" i="29" s="1"/>
  <c r="W36" i="29" s="1"/>
  <c r="O36" i="29"/>
  <c r="M36" i="29"/>
  <c r="G36" i="29"/>
  <c r="F36" i="29"/>
  <c r="X35" i="29"/>
  <c r="S35" i="29"/>
  <c r="U35" i="29" s="1"/>
  <c r="W35" i="29" s="1"/>
  <c r="O35" i="29"/>
  <c r="M35" i="29"/>
  <c r="G35" i="29"/>
  <c r="F35" i="29"/>
  <c r="U34" i="29"/>
  <c r="W34" i="29" s="1"/>
  <c r="O34" i="29"/>
  <c r="M34" i="29"/>
  <c r="G34" i="29"/>
  <c r="F34" i="29"/>
  <c r="AA34" i="29" s="1"/>
  <c r="S33" i="29"/>
  <c r="U33" i="29" s="1"/>
  <c r="W33" i="29" s="1"/>
  <c r="O33" i="29"/>
  <c r="M33" i="29"/>
  <c r="G33" i="29"/>
  <c r="F33" i="29"/>
  <c r="X32" i="29"/>
  <c r="S32" i="29"/>
  <c r="U32" i="29" s="1"/>
  <c r="W32" i="29" s="1"/>
  <c r="O32" i="29"/>
  <c r="M32" i="29"/>
  <c r="G32" i="29"/>
  <c r="F32" i="29"/>
  <c r="X31" i="29"/>
  <c r="S31" i="29"/>
  <c r="U31" i="29" s="1"/>
  <c r="W31" i="29" s="1"/>
  <c r="O31" i="29"/>
  <c r="M31" i="29"/>
  <c r="G31" i="29"/>
  <c r="F31" i="29"/>
  <c r="U30" i="29"/>
  <c r="W30" i="29" s="1"/>
  <c r="X29" i="29"/>
  <c r="S29" i="29"/>
  <c r="U29" i="29" s="1"/>
  <c r="W29" i="29" s="1"/>
  <c r="O29" i="29"/>
  <c r="M29" i="29"/>
  <c r="G29" i="29"/>
  <c r="F29" i="29"/>
  <c r="X28" i="29"/>
  <c r="S28" i="29"/>
  <c r="U28" i="29" s="1"/>
  <c r="W28" i="29" s="1"/>
  <c r="O28" i="29"/>
  <c r="M28" i="29"/>
  <c r="G28" i="29"/>
  <c r="F28" i="29"/>
  <c r="AA28" i="29" s="1"/>
  <c r="X27" i="29"/>
  <c r="S27" i="29"/>
  <c r="U27" i="29" s="1"/>
  <c r="W27" i="29" s="1"/>
  <c r="O27" i="29"/>
  <c r="M27" i="29"/>
  <c r="G27" i="29"/>
  <c r="F27" i="29"/>
  <c r="S26" i="29"/>
  <c r="U26" i="29" s="1"/>
  <c r="W26" i="29" s="1"/>
  <c r="O26" i="29"/>
  <c r="M26" i="29"/>
  <c r="G26" i="29"/>
  <c r="F26" i="29"/>
  <c r="S25" i="29"/>
  <c r="U25" i="29" s="1"/>
  <c r="W25" i="29" s="1"/>
  <c r="O25" i="29"/>
  <c r="M25" i="29"/>
  <c r="G25" i="29"/>
  <c r="F25" i="29"/>
  <c r="S24" i="29"/>
  <c r="U24" i="29" s="1"/>
  <c r="W24" i="29" s="1"/>
  <c r="O24" i="29"/>
  <c r="M24" i="29"/>
  <c r="G24" i="29"/>
  <c r="F24" i="29"/>
  <c r="U23" i="29"/>
  <c r="W23" i="29" s="1"/>
  <c r="G23" i="29"/>
  <c r="F23" i="29"/>
  <c r="U22" i="29"/>
  <c r="W22" i="29" s="1"/>
  <c r="S21" i="29"/>
  <c r="U21" i="29" s="1"/>
  <c r="W21" i="29" s="1"/>
  <c r="O21" i="29"/>
  <c r="M21" i="29"/>
  <c r="G21" i="29"/>
  <c r="F21" i="29"/>
  <c r="AA21" i="29" s="1"/>
  <c r="S20" i="29"/>
  <c r="U20" i="29"/>
  <c r="W20" i="29" s="1"/>
  <c r="O20" i="29"/>
  <c r="M20" i="29"/>
  <c r="G20" i="29"/>
  <c r="F20" i="29"/>
  <c r="X19" i="29"/>
  <c r="S19" i="29"/>
  <c r="U19" i="29" s="1"/>
  <c r="W19" i="29" s="1"/>
  <c r="O19" i="29"/>
  <c r="M19" i="29"/>
  <c r="G19" i="29"/>
  <c r="F19" i="29"/>
  <c r="X18" i="29"/>
  <c r="S18" i="29"/>
  <c r="U18" i="29" s="1"/>
  <c r="W18" i="29" s="1"/>
  <c r="O18" i="29"/>
  <c r="M18" i="29"/>
  <c r="G18" i="29"/>
  <c r="F18" i="29"/>
  <c r="X17" i="29"/>
  <c r="S17" i="29"/>
  <c r="U17" i="29" s="1"/>
  <c r="W17" i="29" s="1"/>
  <c r="O17" i="29"/>
  <c r="M17" i="29"/>
  <c r="G17" i="29"/>
  <c r="F17" i="29"/>
  <c r="X16" i="29"/>
  <c r="S16" i="29"/>
  <c r="U16" i="29" s="1"/>
  <c r="W16" i="29" s="1"/>
  <c r="O16" i="29"/>
  <c r="M16" i="29"/>
  <c r="G16" i="29"/>
  <c r="F16" i="29"/>
  <c r="X15" i="29"/>
  <c r="S15" i="29"/>
  <c r="R15" i="29"/>
  <c r="U15" i="29" s="1"/>
  <c r="W15" i="29" s="1"/>
  <c r="O15" i="29"/>
  <c r="M15" i="29"/>
  <c r="G15" i="29"/>
  <c r="F15" i="29"/>
  <c r="X14" i="29"/>
  <c r="S14" i="29"/>
  <c r="U14" i="29" s="1"/>
  <c r="W14" i="29" s="1"/>
  <c r="O14" i="29"/>
  <c r="M14" i="29"/>
  <c r="G14" i="29"/>
  <c r="F14" i="29"/>
  <c r="X13" i="29"/>
  <c r="S13" i="29"/>
  <c r="U13" i="29" s="1"/>
  <c r="W13" i="29" s="1"/>
  <c r="O13" i="29"/>
  <c r="M13" i="29"/>
  <c r="G13" i="29"/>
  <c r="F13" i="29"/>
  <c r="U12" i="29"/>
  <c r="W12" i="29" s="1"/>
  <c r="X11" i="29"/>
  <c r="S11" i="29"/>
  <c r="U11" i="29" s="1"/>
  <c r="W11" i="29" s="1"/>
  <c r="O11" i="29"/>
  <c r="M11" i="29"/>
  <c r="G11" i="29"/>
  <c r="F11" i="29"/>
  <c r="AA11" i="29" s="1"/>
  <c r="X10" i="29"/>
  <c r="S10" i="29"/>
  <c r="U10" i="29" s="1"/>
  <c r="W10" i="29" s="1"/>
  <c r="O10" i="29"/>
  <c r="M10" i="29"/>
  <c r="G10" i="29"/>
  <c r="F10" i="29"/>
  <c r="X9" i="29"/>
  <c r="S9" i="29"/>
  <c r="U9" i="29" s="1"/>
  <c r="W9" i="29" s="1"/>
  <c r="O9" i="29"/>
  <c r="M9" i="29"/>
  <c r="G9" i="29"/>
  <c r="F9" i="29"/>
  <c r="AA9" i="29" s="1"/>
  <c r="X8" i="29"/>
  <c r="S8" i="29"/>
  <c r="U8" i="29" s="1"/>
  <c r="W8" i="29" s="1"/>
  <c r="O8" i="29"/>
  <c r="M8" i="29"/>
  <c r="G8" i="29"/>
  <c r="F8" i="29"/>
  <c r="AA8" i="29" s="1"/>
  <c r="X7" i="29"/>
  <c r="S7" i="29"/>
  <c r="U7" i="29" s="1"/>
  <c r="W7" i="29" s="1"/>
  <c r="O7" i="29"/>
  <c r="M7" i="29"/>
  <c r="G7" i="29"/>
  <c r="F7" i="29"/>
  <c r="AA7" i="29" s="1"/>
  <c r="X6" i="29"/>
  <c r="S6" i="29"/>
  <c r="U6" i="29" s="1"/>
  <c r="W6" i="29" s="1"/>
  <c r="O6" i="29"/>
  <c r="M6" i="29"/>
  <c r="G6" i="29"/>
  <c r="F6" i="29"/>
  <c r="AA6" i="29" s="1"/>
  <c r="X5" i="29"/>
  <c r="S5" i="29"/>
  <c r="U5" i="29" s="1"/>
  <c r="W5" i="29" s="1"/>
  <c r="O5" i="29"/>
  <c r="M5" i="29"/>
  <c r="G5" i="29"/>
  <c r="F5" i="29"/>
  <c r="AA5" i="29" s="1"/>
  <c r="U4" i="29"/>
  <c r="W4" i="29" s="1"/>
  <c r="E149" i="25"/>
  <c r="C149" i="25"/>
  <c r="B149" i="25"/>
  <c r="A149" i="25"/>
  <c r="E149" i="26"/>
  <c r="C149" i="26"/>
  <c r="B149" i="26"/>
  <c r="A149" i="26"/>
  <c r="U149" i="24"/>
  <c r="W149" i="24" s="1"/>
  <c r="O149" i="24" s="1"/>
  <c r="E23" i="25"/>
  <c r="C23" i="25"/>
  <c r="B23" i="25"/>
  <c r="A23" i="25"/>
  <c r="E23" i="26"/>
  <c r="C23" i="26"/>
  <c r="B23" i="26"/>
  <c r="A23" i="26"/>
  <c r="U23" i="24"/>
  <c r="W23" i="24" s="1"/>
  <c r="B109" i="26"/>
  <c r="B109" i="25"/>
  <c r="E42" i="26"/>
  <c r="E129" i="25"/>
  <c r="C129" i="25"/>
  <c r="B129" i="25"/>
  <c r="A129" i="25"/>
  <c r="E129" i="26"/>
  <c r="C129" i="26"/>
  <c r="B129" i="26"/>
  <c r="A129" i="26"/>
  <c r="U129" i="24"/>
  <c r="W129" i="24" s="1"/>
  <c r="E109" i="25"/>
  <c r="C109" i="25"/>
  <c r="A109" i="25"/>
  <c r="E109" i="26"/>
  <c r="C109" i="26"/>
  <c r="A109" i="26"/>
  <c r="U109" i="24"/>
  <c r="W109" i="24" s="1"/>
  <c r="J73" i="24"/>
  <c r="I73" i="24"/>
  <c r="H73" i="24"/>
  <c r="A208" i="26"/>
  <c r="B208" i="26"/>
  <c r="C208" i="26"/>
  <c r="E208" i="26"/>
  <c r="A208" i="25"/>
  <c r="B208" i="25"/>
  <c r="C208" i="25"/>
  <c r="E208" i="25"/>
  <c r="H208" i="25"/>
  <c r="I208" i="25"/>
  <c r="J208" i="25"/>
  <c r="J12" i="28"/>
  <c r="J11" i="28"/>
  <c r="D17" i="23"/>
  <c r="B17" i="23"/>
  <c r="B18" i="23" s="1"/>
  <c r="C17" i="23"/>
  <c r="A184" i="26"/>
  <c r="B184" i="26"/>
  <c r="C184" i="26"/>
  <c r="E184" i="26"/>
  <c r="A184" i="25"/>
  <c r="B184" i="25"/>
  <c r="C184" i="25"/>
  <c r="E184" i="25"/>
  <c r="I42" i="24"/>
  <c r="I42" i="25" s="1"/>
  <c r="A104" i="26"/>
  <c r="B104" i="26"/>
  <c r="C104" i="26"/>
  <c r="E104" i="26"/>
  <c r="A104" i="25"/>
  <c r="B104" i="25"/>
  <c r="C104" i="25"/>
  <c r="E104" i="25"/>
  <c r="U41" i="24"/>
  <c r="W41" i="24" s="1"/>
  <c r="O41" i="24" s="1"/>
  <c r="G41" i="24" s="1"/>
  <c r="E42" i="25"/>
  <c r="C42" i="25"/>
  <c r="B42" i="25"/>
  <c r="A42" i="25"/>
  <c r="C42" i="26"/>
  <c r="B42" i="26"/>
  <c r="A42" i="26"/>
  <c r="E41" i="25"/>
  <c r="C41" i="25"/>
  <c r="B41" i="25"/>
  <c r="A41" i="25"/>
  <c r="E41" i="26"/>
  <c r="C41" i="26"/>
  <c r="B41" i="26"/>
  <c r="A41" i="26"/>
  <c r="U104" i="24"/>
  <c r="W104" i="24" s="1"/>
  <c r="T52" i="23"/>
  <c r="V52" i="23" s="1"/>
  <c r="D21" i="28" s="1"/>
  <c r="E21" i="28"/>
  <c r="I20" i="28"/>
  <c r="I12" i="28"/>
  <c r="M149" i="24" l="1"/>
  <c r="F208" i="25"/>
  <c r="F128" i="25"/>
  <c r="G128" i="26"/>
  <c r="F128" i="26" s="1"/>
  <c r="G128" i="25"/>
  <c r="H128" i="26"/>
  <c r="J128" i="24"/>
  <c r="I128" i="24"/>
  <c r="H128" i="24"/>
  <c r="O23" i="24"/>
  <c r="M23" i="24"/>
  <c r="AB5" i="29"/>
  <c r="J5" i="29"/>
  <c r="I5" i="29"/>
  <c r="H5" i="29"/>
  <c r="AB6" i="29"/>
  <c r="J6" i="29"/>
  <c r="I6" i="29"/>
  <c r="H6" i="29"/>
  <c r="AB7" i="29"/>
  <c r="J7" i="29"/>
  <c r="I7" i="29"/>
  <c r="H7" i="29"/>
  <c r="AB8" i="29"/>
  <c r="J8" i="29"/>
  <c r="I8" i="29"/>
  <c r="H8" i="29"/>
  <c r="AB9" i="29"/>
  <c r="J9" i="29"/>
  <c r="I9" i="29"/>
  <c r="H9" i="29"/>
  <c r="J10" i="29"/>
  <c r="I10" i="29"/>
  <c r="H10" i="29"/>
  <c r="AB11" i="29"/>
  <c r="J11" i="29"/>
  <c r="I11" i="29"/>
  <c r="H11" i="29"/>
  <c r="J13" i="29"/>
  <c r="I13" i="29"/>
  <c r="H13" i="29"/>
  <c r="J14" i="29"/>
  <c r="I14" i="29"/>
  <c r="H14" i="29"/>
  <c r="J15" i="29"/>
  <c r="I15" i="29"/>
  <c r="H15" i="29"/>
  <c r="J16" i="29"/>
  <c r="I16" i="29"/>
  <c r="H16" i="29"/>
  <c r="J17" i="29"/>
  <c r="I17" i="29"/>
  <c r="H17" i="29"/>
  <c r="J18" i="29"/>
  <c r="I18" i="29"/>
  <c r="H18" i="29"/>
  <c r="J19" i="29"/>
  <c r="I19" i="29"/>
  <c r="H19" i="29"/>
  <c r="J20" i="29"/>
  <c r="I20" i="29"/>
  <c r="H20" i="29"/>
  <c r="AB21" i="29"/>
  <c r="J21" i="29"/>
  <c r="I21" i="29"/>
  <c r="H21" i="29"/>
  <c r="J23" i="29"/>
  <c r="I23" i="29"/>
  <c r="H23" i="29"/>
  <c r="J24" i="29"/>
  <c r="I24" i="29"/>
  <c r="H24" i="29"/>
  <c r="J25" i="29"/>
  <c r="I25" i="29"/>
  <c r="H25" i="29"/>
  <c r="J26" i="29"/>
  <c r="I26" i="29"/>
  <c r="H26" i="29"/>
  <c r="J27" i="29"/>
  <c r="I27" i="29"/>
  <c r="H27" i="29"/>
  <c r="AB28" i="29"/>
  <c r="J28" i="29"/>
  <c r="I28" i="29"/>
  <c r="H28" i="29"/>
  <c r="J29" i="29"/>
  <c r="I29" i="29"/>
  <c r="H29" i="29"/>
  <c r="J31" i="29"/>
  <c r="I31" i="29"/>
  <c r="H31" i="29"/>
  <c r="J32" i="29"/>
  <c r="I32" i="29"/>
  <c r="H32" i="29"/>
  <c r="J33" i="29"/>
  <c r="I33" i="29"/>
  <c r="H33" i="29"/>
  <c r="AB34" i="29"/>
  <c r="J34" i="29"/>
  <c r="I34" i="29"/>
  <c r="H34" i="29"/>
  <c r="J35" i="29"/>
  <c r="I35" i="29"/>
  <c r="H35" i="29"/>
  <c r="J36" i="29"/>
  <c r="I36" i="29"/>
  <c r="H36" i="29"/>
  <c r="AB37" i="29"/>
  <c r="J37" i="29"/>
  <c r="I37" i="29"/>
  <c r="H37" i="29"/>
  <c r="J38" i="29"/>
  <c r="I38" i="29"/>
  <c r="H38" i="29"/>
  <c r="J39" i="29"/>
  <c r="I39" i="29"/>
  <c r="H39" i="29"/>
  <c r="J40" i="29"/>
  <c r="I40" i="29"/>
  <c r="H40" i="29"/>
  <c r="J41" i="29"/>
  <c r="I41" i="29"/>
  <c r="H41" i="29"/>
  <c r="J44" i="29"/>
  <c r="I44" i="29"/>
  <c r="H44" i="29"/>
  <c r="J45" i="29"/>
  <c r="I45" i="29"/>
  <c r="H45" i="29"/>
  <c r="J46" i="29"/>
  <c r="I46" i="29"/>
  <c r="H46" i="29"/>
  <c r="J47" i="29"/>
  <c r="I47" i="29"/>
  <c r="H47" i="29"/>
  <c r="J48" i="29"/>
  <c r="I48" i="29"/>
  <c r="H48" i="29"/>
  <c r="J49" i="29"/>
  <c r="I49" i="29"/>
  <c r="H49" i="29"/>
  <c r="J51" i="29"/>
  <c r="I51" i="29"/>
  <c r="H51" i="29"/>
  <c r="J52" i="29"/>
  <c r="I52" i="29"/>
  <c r="H52" i="29"/>
  <c r="J53" i="29"/>
  <c r="I53" i="29"/>
  <c r="H53" i="29"/>
  <c r="J54" i="29"/>
  <c r="I54" i="29"/>
  <c r="H54" i="29"/>
  <c r="J55" i="29"/>
  <c r="I55" i="29"/>
  <c r="H55" i="29"/>
  <c r="J56" i="29"/>
  <c r="I56" i="29"/>
  <c r="H56" i="29"/>
  <c r="J57" i="29"/>
  <c r="I57" i="29"/>
  <c r="H57" i="29"/>
  <c r="J58" i="29"/>
  <c r="I58" i="29"/>
  <c r="H58" i="29"/>
  <c r="J59" i="29"/>
  <c r="I59" i="29"/>
  <c r="H59" i="29"/>
  <c r="J60" i="29"/>
  <c r="I60" i="29"/>
  <c r="H60" i="29"/>
  <c r="J61" i="29"/>
  <c r="I61" i="29"/>
  <c r="H61" i="29"/>
  <c r="J62" i="29"/>
  <c r="I62" i="29"/>
  <c r="H62" i="29"/>
  <c r="J63" i="29"/>
  <c r="I63" i="29"/>
  <c r="H63" i="29"/>
  <c r="J64" i="29"/>
  <c r="I64" i="29"/>
  <c r="H64" i="29"/>
  <c r="J65" i="29"/>
  <c r="I65" i="29"/>
  <c r="H65" i="29"/>
  <c r="J66" i="29"/>
  <c r="I66" i="29"/>
  <c r="H66" i="29"/>
  <c r="J68" i="29"/>
  <c r="I68" i="29"/>
  <c r="H68" i="29"/>
  <c r="J69" i="29"/>
  <c r="I69" i="29"/>
  <c r="H69" i="29"/>
  <c r="J70" i="29"/>
  <c r="I70" i="29"/>
  <c r="H70" i="29"/>
  <c r="J75" i="29"/>
  <c r="I75" i="29"/>
  <c r="H75" i="29"/>
  <c r="J76" i="29"/>
  <c r="I76" i="29"/>
  <c r="H76" i="29"/>
  <c r="J77" i="29"/>
  <c r="I77" i="29"/>
  <c r="H77" i="29"/>
  <c r="J78" i="29"/>
  <c r="I78" i="29"/>
  <c r="H78" i="29"/>
  <c r="J79" i="29"/>
  <c r="I79" i="29"/>
  <c r="H79" i="29"/>
  <c r="J80" i="29"/>
  <c r="I80" i="29"/>
  <c r="H80" i="29"/>
  <c r="J81" i="29"/>
  <c r="I81" i="29"/>
  <c r="H81" i="29"/>
  <c r="J82" i="29"/>
  <c r="I82" i="29"/>
  <c r="H82" i="29"/>
  <c r="J84" i="29"/>
  <c r="I84" i="29"/>
  <c r="H84" i="29"/>
  <c r="J85" i="29"/>
  <c r="I85" i="29"/>
  <c r="H85" i="29"/>
  <c r="J86" i="29"/>
  <c r="I86" i="29"/>
  <c r="H86" i="29"/>
  <c r="J87" i="29"/>
  <c r="I87" i="29"/>
  <c r="H87" i="29"/>
  <c r="AB88" i="29"/>
  <c r="J88" i="29"/>
  <c r="I88" i="29"/>
  <c r="H88" i="29"/>
  <c r="J89" i="29"/>
  <c r="I89" i="29"/>
  <c r="H89" i="29"/>
  <c r="J90" i="29"/>
  <c r="I90" i="29"/>
  <c r="H90" i="29"/>
  <c r="J91" i="29"/>
  <c r="I91" i="29"/>
  <c r="H91" i="29"/>
  <c r="J92" i="29"/>
  <c r="I92" i="29"/>
  <c r="H92" i="29"/>
  <c r="J93" i="29"/>
  <c r="I93" i="29"/>
  <c r="H93" i="29"/>
  <c r="J94" i="29"/>
  <c r="I94" i="29"/>
  <c r="H94" i="29"/>
  <c r="J95" i="29"/>
  <c r="I95" i="29"/>
  <c r="H95" i="29"/>
  <c r="J96" i="29"/>
  <c r="I96" i="29"/>
  <c r="H96" i="29"/>
  <c r="J97" i="29"/>
  <c r="I97" i="29"/>
  <c r="H97" i="29"/>
  <c r="J98" i="29"/>
  <c r="I98" i="29"/>
  <c r="H98" i="29"/>
  <c r="J99" i="29"/>
  <c r="I99" i="29"/>
  <c r="H99" i="29"/>
  <c r="J101" i="29"/>
  <c r="I101" i="29"/>
  <c r="H101" i="29"/>
  <c r="J102" i="29"/>
  <c r="I102" i="29"/>
  <c r="H102" i="29"/>
  <c r="J103" i="29"/>
  <c r="I103" i="29"/>
  <c r="H103" i="29"/>
  <c r="J104" i="29"/>
  <c r="I104" i="29"/>
  <c r="H104" i="29"/>
  <c r="J105" i="29"/>
  <c r="I105" i="29"/>
  <c r="H105" i="29"/>
  <c r="J106" i="29"/>
  <c r="I106" i="29"/>
  <c r="H106" i="29"/>
  <c r="J107" i="29"/>
  <c r="I107" i="29"/>
  <c r="H107" i="29"/>
  <c r="J108" i="29"/>
  <c r="I108" i="29"/>
  <c r="H108" i="29"/>
  <c r="J109" i="29"/>
  <c r="I109" i="29"/>
  <c r="H109" i="29"/>
  <c r="J112" i="29"/>
  <c r="I112" i="29"/>
  <c r="H112" i="29"/>
  <c r="J113" i="29"/>
  <c r="I113" i="29"/>
  <c r="H113" i="29"/>
  <c r="J114" i="29"/>
  <c r="I114" i="29"/>
  <c r="H114" i="29"/>
  <c r="J115" i="29"/>
  <c r="I115" i="29"/>
  <c r="H115" i="29"/>
  <c r="J116" i="29"/>
  <c r="I116" i="29"/>
  <c r="H116" i="29"/>
  <c r="J117" i="29"/>
  <c r="I117" i="29"/>
  <c r="H117" i="29"/>
  <c r="J118" i="29"/>
  <c r="I118" i="29"/>
  <c r="H118" i="29"/>
  <c r="J119" i="29"/>
  <c r="I119" i="29"/>
  <c r="H119" i="29"/>
  <c r="J127" i="29"/>
  <c r="I127" i="29"/>
  <c r="H127" i="29"/>
  <c r="J128" i="29"/>
  <c r="I128" i="29"/>
  <c r="H128" i="29"/>
  <c r="J129" i="29"/>
  <c r="I129" i="29"/>
  <c r="H129" i="29"/>
  <c r="J130" i="29"/>
  <c r="I130" i="29"/>
  <c r="H130" i="29"/>
  <c r="J131" i="29"/>
  <c r="I131" i="29"/>
  <c r="H131" i="29"/>
  <c r="J133" i="29"/>
  <c r="I133" i="29"/>
  <c r="H133" i="29"/>
  <c r="J134" i="29"/>
  <c r="I134" i="29"/>
  <c r="H134" i="29"/>
  <c r="J135" i="29"/>
  <c r="I135" i="29"/>
  <c r="H135" i="29"/>
  <c r="J136" i="29"/>
  <c r="I136" i="29"/>
  <c r="H136" i="29"/>
  <c r="J137" i="29"/>
  <c r="I137" i="29"/>
  <c r="H137" i="29"/>
  <c r="J138" i="29"/>
  <c r="I138" i="29"/>
  <c r="H138" i="29"/>
  <c r="J139" i="29"/>
  <c r="I139" i="29"/>
  <c r="H139" i="29"/>
  <c r="J140" i="29"/>
  <c r="I140" i="29"/>
  <c r="H140" i="29"/>
  <c r="J142" i="29"/>
  <c r="I142" i="29"/>
  <c r="H142" i="29"/>
  <c r="J143" i="29"/>
  <c r="I143" i="29"/>
  <c r="H143" i="29"/>
  <c r="J144" i="29"/>
  <c r="I144" i="29"/>
  <c r="H144" i="29"/>
  <c r="J145" i="29"/>
  <c r="I145" i="29"/>
  <c r="H145" i="29"/>
  <c r="J146" i="29"/>
  <c r="I146" i="29"/>
  <c r="H146" i="29"/>
  <c r="J147" i="29"/>
  <c r="I147" i="29"/>
  <c r="H147" i="29"/>
  <c r="J148" i="29"/>
  <c r="I148" i="29"/>
  <c r="H148" i="29"/>
  <c r="J149" i="29"/>
  <c r="I149" i="29"/>
  <c r="H149" i="29"/>
  <c r="J150" i="29"/>
  <c r="I150" i="29"/>
  <c r="H150" i="29"/>
  <c r="J151" i="29"/>
  <c r="I151" i="29"/>
  <c r="H151" i="29"/>
  <c r="J152" i="29"/>
  <c r="I152" i="29"/>
  <c r="H152" i="29"/>
  <c r="J153" i="29"/>
  <c r="I153" i="29"/>
  <c r="H153" i="29"/>
  <c r="J154" i="29"/>
  <c r="I154" i="29"/>
  <c r="H154" i="29"/>
  <c r="J155" i="29"/>
  <c r="I155" i="29"/>
  <c r="H155" i="29"/>
  <c r="J156" i="29"/>
  <c r="I156" i="29"/>
  <c r="H156" i="29"/>
  <c r="J157" i="29"/>
  <c r="I157" i="29"/>
  <c r="H157" i="29"/>
  <c r="J159" i="29"/>
  <c r="I159" i="29"/>
  <c r="H159" i="29"/>
  <c r="J160" i="29"/>
  <c r="I160" i="29"/>
  <c r="H160" i="29"/>
  <c r="J161" i="29"/>
  <c r="I161" i="29"/>
  <c r="H161" i="29"/>
  <c r="J162" i="29"/>
  <c r="I162" i="29"/>
  <c r="H162" i="29"/>
  <c r="J163" i="29"/>
  <c r="I163" i="29"/>
  <c r="H163" i="29"/>
  <c r="J164" i="29"/>
  <c r="I164" i="29"/>
  <c r="H164" i="29"/>
  <c r="J165" i="29"/>
  <c r="I165" i="29"/>
  <c r="H165" i="29"/>
  <c r="J166" i="29"/>
  <c r="I166" i="29"/>
  <c r="H166" i="29"/>
  <c r="J167" i="29"/>
  <c r="I167" i="29"/>
  <c r="H167" i="29"/>
  <c r="J168" i="29"/>
  <c r="I168" i="29"/>
  <c r="H168" i="29"/>
  <c r="J169" i="29"/>
  <c r="I169" i="29"/>
  <c r="H169" i="29"/>
  <c r="J170" i="29"/>
  <c r="I170" i="29"/>
  <c r="H170" i="29"/>
  <c r="J171" i="29"/>
  <c r="I171" i="29"/>
  <c r="H171" i="29"/>
  <c r="J172" i="29"/>
  <c r="I172" i="29"/>
  <c r="H172" i="29"/>
  <c r="J173" i="29"/>
  <c r="I173" i="29"/>
  <c r="H173" i="29"/>
  <c r="J174" i="29"/>
  <c r="I174" i="29"/>
  <c r="H174" i="29"/>
  <c r="J176" i="29"/>
  <c r="I176" i="29"/>
  <c r="H176" i="29"/>
  <c r="J177" i="29"/>
  <c r="I177" i="29"/>
  <c r="H177" i="29"/>
  <c r="J178" i="29"/>
  <c r="I178" i="29"/>
  <c r="H178" i="29"/>
  <c r="J179" i="29"/>
  <c r="I179" i="29"/>
  <c r="H179" i="29"/>
  <c r="J180" i="29"/>
  <c r="I180" i="29"/>
  <c r="H180" i="29"/>
  <c r="J181" i="29"/>
  <c r="I181" i="29"/>
  <c r="H181" i="29"/>
  <c r="J182" i="29"/>
  <c r="I182" i="29"/>
  <c r="H182" i="29"/>
  <c r="J183" i="29"/>
  <c r="I183" i="29"/>
  <c r="H183" i="29"/>
  <c r="J184" i="29"/>
  <c r="I184" i="29"/>
  <c r="H184" i="29"/>
  <c r="J185" i="29"/>
  <c r="I185" i="29"/>
  <c r="H185" i="29"/>
  <c r="J186" i="29"/>
  <c r="I186" i="29"/>
  <c r="H186" i="29"/>
  <c r="J187" i="29"/>
  <c r="I187" i="29"/>
  <c r="H187" i="29"/>
  <c r="J189" i="29"/>
  <c r="I189" i="29"/>
  <c r="H189" i="29"/>
  <c r="J190" i="29"/>
  <c r="I190" i="29"/>
  <c r="H190" i="29"/>
  <c r="J191" i="29"/>
  <c r="I191" i="29"/>
  <c r="H191" i="29"/>
  <c r="J192" i="29"/>
  <c r="I192" i="29"/>
  <c r="H192" i="29"/>
  <c r="J193" i="29"/>
  <c r="I193" i="29"/>
  <c r="H193" i="29"/>
  <c r="J213" i="29"/>
  <c r="I213" i="29"/>
  <c r="H213" i="29"/>
  <c r="J214" i="29"/>
  <c r="I214" i="29"/>
  <c r="H214" i="29"/>
  <c r="J215" i="29"/>
  <c r="I215" i="29"/>
  <c r="H215" i="29"/>
  <c r="J216" i="29"/>
  <c r="I216" i="29"/>
  <c r="H216" i="29"/>
  <c r="J217" i="29"/>
  <c r="I217" i="29"/>
  <c r="H217" i="29"/>
  <c r="J219" i="29"/>
  <c r="I219" i="29"/>
  <c r="H219" i="29"/>
  <c r="F149" i="25"/>
  <c r="G149" i="26"/>
  <c r="G149" i="25"/>
  <c r="H149" i="26"/>
  <c r="J149" i="24"/>
  <c r="I149" i="24"/>
  <c r="H149" i="24"/>
  <c r="F23" i="25"/>
  <c r="G23" i="26"/>
  <c r="G23" i="25"/>
  <c r="H23" i="26"/>
  <c r="J23" i="24"/>
  <c r="I23" i="24"/>
  <c r="H23" i="24"/>
  <c r="F129" i="25"/>
  <c r="G129" i="26"/>
  <c r="F129" i="26" s="1"/>
  <c r="H129" i="26"/>
  <c r="H129" i="24"/>
  <c r="J129" i="24"/>
  <c r="I129" i="24"/>
  <c r="J110" i="24"/>
  <c r="J184" i="24"/>
  <c r="J184" i="25" s="1"/>
  <c r="I184" i="24"/>
  <c r="I184" i="25" s="1"/>
  <c r="H184" i="24"/>
  <c r="H184" i="25" s="1"/>
  <c r="I110" i="24"/>
  <c r="F109" i="25"/>
  <c r="G109" i="26"/>
  <c r="G109" i="25"/>
  <c r="J109" i="24"/>
  <c r="J109" i="25" s="1"/>
  <c r="I109" i="24"/>
  <c r="I109" i="25" s="1"/>
  <c r="H109" i="24"/>
  <c r="H109" i="25" s="1"/>
  <c r="M41" i="24"/>
  <c r="G41" i="25"/>
  <c r="G184" i="26"/>
  <c r="F184" i="25"/>
  <c r="G104" i="25"/>
  <c r="F17" i="23"/>
  <c r="G104" i="26"/>
  <c r="E17" i="23"/>
  <c r="J104" i="24"/>
  <c r="I104" i="24"/>
  <c r="H104" i="24"/>
  <c r="G42" i="26"/>
  <c r="G42" i="25"/>
  <c r="J42" i="24"/>
  <c r="J42" i="25" s="1"/>
  <c r="J183" i="24"/>
  <c r="I183" i="24"/>
  <c r="F41" i="24" l="1"/>
  <c r="F41" i="25" s="1"/>
  <c r="H128" i="25"/>
  <c r="I128" i="26"/>
  <c r="I128" i="25"/>
  <c r="J128" i="26"/>
  <c r="J128" i="25"/>
  <c r="K128" i="26"/>
  <c r="H149" i="25"/>
  <c r="I149" i="26"/>
  <c r="I149" i="25"/>
  <c r="J149" i="26"/>
  <c r="J149" i="25"/>
  <c r="K149" i="26"/>
  <c r="H23" i="25"/>
  <c r="I23" i="26"/>
  <c r="I23" i="25"/>
  <c r="J23" i="26"/>
  <c r="J23" i="25"/>
  <c r="K23" i="26"/>
  <c r="I129" i="25"/>
  <c r="J129" i="26"/>
  <c r="H129" i="25"/>
  <c r="I129" i="26"/>
  <c r="J129" i="25"/>
  <c r="K129" i="26"/>
  <c r="H104" i="25"/>
  <c r="G17" i="23"/>
  <c r="I104" i="25"/>
  <c r="H17" i="23"/>
  <c r="J104" i="25"/>
  <c r="I17" i="23"/>
  <c r="H41" i="24"/>
  <c r="H41" i="25" s="1"/>
  <c r="I41" i="24"/>
  <c r="I41" i="25" s="1"/>
  <c r="J41" i="24"/>
  <c r="J41" i="25" s="1"/>
  <c r="H42" i="26"/>
  <c r="H41" i="26"/>
  <c r="G41" i="26"/>
  <c r="F41" i="26" s="1"/>
  <c r="F43" i="23"/>
  <c r="E43" i="23"/>
  <c r="I42" i="26" l="1"/>
  <c r="K42" i="26"/>
  <c r="J42" i="26"/>
  <c r="I41" i="26"/>
  <c r="J41" i="26"/>
  <c r="K41" i="26"/>
  <c r="G32" i="23"/>
  <c r="H32" i="23"/>
  <c r="I32" i="23"/>
  <c r="G33" i="23"/>
  <c r="H33" i="23"/>
  <c r="I33" i="23"/>
  <c r="G34" i="23"/>
  <c r="H34" i="23"/>
  <c r="I34" i="23"/>
  <c r="G43" i="23"/>
  <c r="H43" i="23"/>
  <c r="I43" i="23"/>
  <c r="G44" i="23"/>
  <c r="H44" i="23"/>
  <c r="I44" i="23"/>
  <c r="G45" i="23"/>
  <c r="H45" i="23"/>
  <c r="I45" i="23"/>
  <c r="G46" i="23"/>
  <c r="H46" i="23"/>
  <c r="I46" i="23"/>
  <c r="G47" i="23"/>
  <c r="H47" i="23"/>
  <c r="I47" i="23"/>
  <c r="H31" i="23"/>
  <c r="I31" i="23"/>
  <c r="G31" i="23"/>
  <c r="D22" i="23"/>
  <c r="D23" i="23"/>
  <c r="D24" i="23"/>
  <c r="D25" i="23"/>
  <c r="D26" i="23"/>
  <c r="D27" i="23"/>
  <c r="D28" i="23"/>
  <c r="D29" i="23"/>
  <c r="D30" i="23"/>
  <c r="C22" i="23"/>
  <c r="C23" i="23"/>
  <c r="C24" i="23"/>
  <c r="C25" i="23"/>
  <c r="C26" i="23"/>
  <c r="C27" i="23"/>
  <c r="C28" i="23"/>
  <c r="C29" i="23"/>
  <c r="C30" i="23"/>
  <c r="D19" i="23"/>
  <c r="D20" i="23"/>
  <c r="C19" i="23"/>
  <c r="C20" i="23"/>
  <c r="D18" i="23"/>
  <c r="C18" i="23"/>
  <c r="E25" i="23" l="1"/>
  <c r="F25" i="23"/>
  <c r="F20" i="23"/>
  <c r="E20" i="23"/>
  <c r="E18" i="23"/>
  <c r="F18" i="23"/>
  <c r="E22" i="23" l="1"/>
  <c r="E23" i="23"/>
  <c r="F22" i="23"/>
  <c r="F23" i="23"/>
  <c r="F30" i="23"/>
  <c r="F27" i="23"/>
  <c r="E30" i="23"/>
  <c r="E27" i="23"/>
  <c r="H4" i="28"/>
  <c r="H5" i="28"/>
  <c r="G3" i="28"/>
  <c r="E3" i="28"/>
  <c r="H3" i="28" s="1"/>
  <c r="H8" i="28" s="1"/>
  <c r="G5" i="28" l="1"/>
  <c r="G4" i="28"/>
  <c r="G7" i="28" s="1"/>
  <c r="E8" i="28" s="1"/>
  <c r="R124" i="27" l="1"/>
  <c r="M192" i="24" l="1"/>
  <c r="U11" i="24" l="1"/>
  <c r="W11" i="24" s="1"/>
  <c r="O11" i="24" s="1"/>
  <c r="G11" i="24" s="1"/>
  <c r="U159" i="24"/>
  <c r="W159" i="24" s="1"/>
  <c r="O159" i="24" s="1"/>
  <c r="G159" i="24" s="1"/>
  <c r="A159" i="26"/>
  <c r="B159" i="26"/>
  <c r="C159" i="26"/>
  <c r="E159" i="26"/>
  <c r="A159" i="25"/>
  <c r="B159" i="25"/>
  <c r="C159" i="25"/>
  <c r="E159" i="25"/>
  <c r="E11" i="25"/>
  <c r="A11" i="25"/>
  <c r="B11" i="25"/>
  <c r="C11" i="25"/>
  <c r="A11" i="26"/>
  <c r="B11" i="26"/>
  <c r="C11" i="26"/>
  <c r="E11" i="26"/>
  <c r="G11" i="25" l="1"/>
  <c r="M11" i="24"/>
  <c r="F11" i="24" s="1"/>
  <c r="M159" i="24"/>
  <c r="F159" i="24" s="1"/>
  <c r="R64" i="27"/>
  <c r="J11" i="24" l="1"/>
  <c r="J11" i="25" s="1"/>
  <c r="I11" i="24"/>
  <c r="I11" i="25" s="1"/>
  <c r="H11" i="24"/>
  <c r="H11" i="25" s="1"/>
  <c r="G11" i="26"/>
  <c r="F11" i="26" s="1"/>
  <c r="F11" i="25"/>
  <c r="G159" i="26"/>
  <c r="F159" i="25"/>
  <c r="H159" i="24"/>
  <c r="H159" i="25" s="1"/>
  <c r="I159" i="24"/>
  <c r="I159" i="25" s="1"/>
  <c r="J159" i="24"/>
  <c r="J159" i="25" s="1"/>
  <c r="G159" i="25"/>
  <c r="U132" i="24"/>
  <c r="W132" i="24" s="1"/>
  <c r="O132" i="24" s="1"/>
  <c r="M132" i="24" l="1"/>
  <c r="T227" i="27"/>
  <c r="V227" i="27" s="1"/>
  <c r="N227" i="27"/>
  <c r="L227" i="27"/>
  <c r="F227" i="27"/>
  <c r="E227" i="27"/>
  <c r="T226" i="27"/>
  <c r="V226" i="27" s="1"/>
  <c r="N226" i="27"/>
  <c r="L226" i="27"/>
  <c r="F226" i="27"/>
  <c r="E226" i="27"/>
  <c r="T225" i="27"/>
  <c r="V225" i="27" s="1"/>
  <c r="R224" i="27"/>
  <c r="T224" i="27" s="1"/>
  <c r="V224" i="27" s="1"/>
  <c r="N224" i="27"/>
  <c r="L224" i="27"/>
  <c r="F224" i="27"/>
  <c r="E224" i="27"/>
  <c r="T223" i="27"/>
  <c r="V223" i="27" s="1"/>
  <c r="N223" i="27"/>
  <c r="L223" i="27"/>
  <c r="T222" i="27"/>
  <c r="V222" i="27" s="1"/>
  <c r="N222" i="27"/>
  <c r="L222" i="27"/>
  <c r="T221" i="27"/>
  <c r="V221" i="27" s="1"/>
  <c r="N221" i="27"/>
  <c r="L221" i="27"/>
  <c r="F221" i="27"/>
  <c r="E221" i="27"/>
  <c r="T220" i="27"/>
  <c r="V220" i="27" s="1"/>
  <c r="N220" i="27"/>
  <c r="L220" i="27"/>
  <c r="F220" i="27"/>
  <c r="E220" i="27"/>
  <c r="T219" i="27"/>
  <c r="V219" i="27" s="1"/>
  <c r="R218" i="27"/>
  <c r="T218" i="27" s="1"/>
  <c r="V218" i="27" s="1"/>
  <c r="N218" i="27"/>
  <c r="L218" i="27"/>
  <c r="F218" i="27"/>
  <c r="E218" i="27"/>
  <c r="T217" i="27"/>
  <c r="V217" i="27" s="1"/>
  <c r="N217" i="27"/>
  <c r="L217" i="27"/>
  <c r="F217" i="27"/>
  <c r="E217" i="27"/>
  <c r="R216" i="27"/>
  <c r="T216" i="27" s="1"/>
  <c r="V216" i="27" s="1"/>
  <c r="N216" i="27"/>
  <c r="L216" i="27"/>
  <c r="F216" i="27"/>
  <c r="E216" i="27"/>
  <c r="R215" i="27"/>
  <c r="T215" i="27" s="1"/>
  <c r="V215" i="27" s="1"/>
  <c r="N215" i="27"/>
  <c r="L215" i="27"/>
  <c r="F215" i="27"/>
  <c r="E215" i="27"/>
  <c r="R214" i="27"/>
  <c r="T214" i="27" s="1"/>
  <c r="V214" i="27" s="1"/>
  <c r="N214" i="27"/>
  <c r="L214" i="27"/>
  <c r="F214" i="27"/>
  <c r="E214" i="27"/>
  <c r="T213" i="27"/>
  <c r="V213" i="27" s="1"/>
  <c r="T212" i="27"/>
  <c r="V212" i="27" s="1"/>
  <c r="L212" i="27"/>
  <c r="F212" i="27"/>
  <c r="G212" i="27" s="1"/>
  <c r="H212" i="27" s="1"/>
  <c r="I212" i="27" s="1"/>
  <c r="E212" i="27"/>
  <c r="T211" i="27"/>
  <c r="V211" i="27" s="1"/>
  <c r="L211" i="27"/>
  <c r="F211" i="27"/>
  <c r="G211" i="27" s="1"/>
  <c r="H211" i="27" s="1"/>
  <c r="I211" i="27" s="1"/>
  <c r="E211" i="27"/>
  <c r="T210" i="27"/>
  <c r="V210" i="27" s="1"/>
  <c r="L210" i="27"/>
  <c r="F210" i="27"/>
  <c r="G210" i="27" s="1"/>
  <c r="H210" i="27" s="1"/>
  <c r="I210" i="27" s="1"/>
  <c r="E210" i="27"/>
  <c r="T209" i="27"/>
  <c r="V209" i="27" s="1"/>
  <c r="L209" i="27"/>
  <c r="F209" i="27"/>
  <c r="G209" i="27" s="1"/>
  <c r="H209" i="27" s="1"/>
  <c r="I209" i="27" s="1"/>
  <c r="E209" i="27"/>
  <c r="T208" i="27"/>
  <c r="V208" i="27" s="1"/>
  <c r="L208" i="27"/>
  <c r="F208" i="27"/>
  <c r="G208" i="27" s="1"/>
  <c r="H208" i="27" s="1"/>
  <c r="I208" i="27" s="1"/>
  <c r="E208" i="27"/>
  <c r="T207" i="27"/>
  <c r="V207" i="27" s="1"/>
  <c r="L207" i="27"/>
  <c r="F207" i="27"/>
  <c r="G207" i="27" s="1"/>
  <c r="H207" i="27" s="1"/>
  <c r="I207" i="27" s="1"/>
  <c r="E207" i="27"/>
  <c r="T206" i="27"/>
  <c r="V206" i="27" s="1"/>
  <c r="L206" i="27"/>
  <c r="F206" i="27"/>
  <c r="G206" i="27" s="1"/>
  <c r="H206" i="27" s="1"/>
  <c r="I206" i="27" s="1"/>
  <c r="E206" i="27"/>
  <c r="T205" i="27"/>
  <c r="V205" i="27" s="1"/>
  <c r="L205" i="27"/>
  <c r="F205" i="27"/>
  <c r="G205" i="27" s="1"/>
  <c r="H205" i="27" s="1"/>
  <c r="I205" i="27" s="1"/>
  <c r="E205" i="27"/>
  <c r="T204" i="27"/>
  <c r="V204" i="27" s="1"/>
  <c r="L204" i="27"/>
  <c r="F204" i="27"/>
  <c r="G204" i="27" s="1"/>
  <c r="H204" i="27" s="1"/>
  <c r="I204" i="27" s="1"/>
  <c r="E204" i="27"/>
  <c r="T203" i="27"/>
  <c r="V203" i="27" s="1"/>
  <c r="L203" i="27"/>
  <c r="F203" i="27"/>
  <c r="G203" i="27" s="1"/>
  <c r="H203" i="27" s="1"/>
  <c r="I203" i="27" s="1"/>
  <c r="E203" i="27"/>
  <c r="T202" i="27"/>
  <c r="V202" i="27" s="1"/>
  <c r="L202" i="27"/>
  <c r="F202" i="27"/>
  <c r="G202" i="27" s="1"/>
  <c r="H202" i="27" s="1"/>
  <c r="I202" i="27" s="1"/>
  <c r="E202" i="27"/>
  <c r="T201" i="27"/>
  <c r="V201" i="27" s="1"/>
  <c r="L201" i="27"/>
  <c r="F201" i="27"/>
  <c r="G201" i="27" s="1"/>
  <c r="H201" i="27" s="1"/>
  <c r="I201" i="27" s="1"/>
  <c r="E201" i="27"/>
  <c r="T200" i="27"/>
  <c r="V200" i="27" s="1"/>
  <c r="L200" i="27"/>
  <c r="F200" i="27"/>
  <c r="G200" i="27" s="1"/>
  <c r="H200" i="27" s="1"/>
  <c r="I200" i="27" s="1"/>
  <c r="E200" i="27"/>
  <c r="T199" i="27"/>
  <c r="V199" i="27" s="1"/>
  <c r="L199" i="27"/>
  <c r="F199" i="27"/>
  <c r="G199" i="27" s="1"/>
  <c r="H199" i="27" s="1"/>
  <c r="I199" i="27" s="1"/>
  <c r="E199" i="27"/>
  <c r="T198" i="27"/>
  <c r="V198" i="27" s="1"/>
  <c r="L198" i="27"/>
  <c r="F198" i="27"/>
  <c r="G198" i="27" s="1"/>
  <c r="H198" i="27" s="1"/>
  <c r="I198" i="27" s="1"/>
  <c r="E198" i="27"/>
  <c r="T197" i="27"/>
  <c r="V197" i="27" s="1"/>
  <c r="L197" i="27"/>
  <c r="F197" i="27"/>
  <c r="G197" i="27" s="1"/>
  <c r="H197" i="27" s="1"/>
  <c r="I197" i="27" s="1"/>
  <c r="E197" i="27"/>
  <c r="T196" i="27"/>
  <c r="V196" i="27" s="1"/>
  <c r="T195" i="27"/>
  <c r="V195" i="27" s="1"/>
  <c r="N195" i="27"/>
  <c r="L195" i="27"/>
  <c r="F195" i="27"/>
  <c r="E195" i="27"/>
  <c r="T194" i="27"/>
  <c r="V194" i="27" s="1"/>
  <c r="N194" i="27"/>
  <c r="L194" i="27"/>
  <c r="F194" i="27"/>
  <c r="E194" i="27"/>
  <c r="T193" i="27"/>
  <c r="V193" i="27" s="1"/>
  <c r="N193" i="27"/>
  <c r="L193" i="27"/>
  <c r="F193" i="27"/>
  <c r="E193" i="27"/>
  <c r="T192" i="27"/>
  <c r="V192" i="27" s="1"/>
  <c r="N192" i="27"/>
  <c r="L192" i="27"/>
  <c r="F192" i="27"/>
  <c r="E192" i="27"/>
  <c r="T191" i="27"/>
  <c r="V191" i="27" s="1"/>
  <c r="N191" i="27"/>
  <c r="L191" i="27"/>
  <c r="F191" i="27"/>
  <c r="E191" i="27"/>
  <c r="T190" i="27"/>
  <c r="V190" i="27" s="1"/>
  <c r="N190" i="27"/>
  <c r="L190" i="27"/>
  <c r="F190" i="27"/>
  <c r="E190" i="27"/>
  <c r="T189" i="27"/>
  <c r="V189" i="27" s="1"/>
  <c r="N189" i="27"/>
  <c r="L189" i="27"/>
  <c r="F189" i="27"/>
  <c r="E189" i="27"/>
  <c r="T188" i="27"/>
  <c r="V188" i="27" s="1"/>
  <c r="N188" i="27"/>
  <c r="L188" i="27"/>
  <c r="F188" i="27"/>
  <c r="E188" i="27"/>
  <c r="Q187" i="27"/>
  <c r="T187" i="27" s="1"/>
  <c r="V187" i="27" s="1"/>
  <c r="N187" i="27"/>
  <c r="L187" i="27"/>
  <c r="F187" i="27"/>
  <c r="E187" i="27"/>
  <c r="T186" i="27"/>
  <c r="V186" i="27" s="1"/>
  <c r="N186" i="27"/>
  <c r="L186" i="27"/>
  <c r="F186" i="27"/>
  <c r="E186" i="27"/>
  <c r="T185" i="27"/>
  <c r="V185" i="27" s="1"/>
  <c r="T184" i="27"/>
  <c r="V184" i="27" s="1"/>
  <c r="L184" i="27"/>
  <c r="F184" i="27"/>
  <c r="G184" i="27" s="1"/>
  <c r="H184" i="27" s="1"/>
  <c r="I184" i="27" s="1"/>
  <c r="E184" i="27"/>
  <c r="T183" i="27"/>
  <c r="V183" i="27" s="1"/>
  <c r="N183" i="27"/>
  <c r="L183" i="27"/>
  <c r="F183" i="27"/>
  <c r="E183" i="27"/>
  <c r="T182" i="27"/>
  <c r="V182" i="27" s="1"/>
  <c r="N182" i="27"/>
  <c r="L182" i="27"/>
  <c r="F182" i="27"/>
  <c r="E182" i="27"/>
  <c r="T181" i="27"/>
  <c r="V181" i="27" s="1"/>
  <c r="N181" i="27"/>
  <c r="L181" i="27"/>
  <c r="F181" i="27"/>
  <c r="E181" i="27"/>
  <c r="T180" i="27"/>
  <c r="V180" i="27" s="1"/>
  <c r="N180" i="27"/>
  <c r="L180" i="27"/>
  <c r="F180" i="27"/>
  <c r="E180" i="27"/>
  <c r="T179" i="27"/>
  <c r="V179" i="27" s="1"/>
  <c r="N179" i="27"/>
  <c r="L179" i="27"/>
  <c r="F179" i="27"/>
  <c r="E179" i="27"/>
  <c r="T178" i="27"/>
  <c r="V178" i="27" s="1"/>
  <c r="N178" i="27"/>
  <c r="L178" i="27"/>
  <c r="F178" i="27"/>
  <c r="E178" i="27"/>
  <c r="T177" i="27"/>
  <c r="V177" i="27" s="1"/>
  <c r="N177" i="27"/>
  <c r="L177" i="27"/>
  <c r="F177" i="27"/>
  <c r="E177" i="27"/>
  <c r="T176" i="27"/>
  <c r="V176" i="27" s="1"/>
  <c r="N176" i="27"/>
  <c r="L176" i="27"/>
  <c r="F176" i="27"/>
  <c r="E176" i="27"/>
  <c r="T175" i="27"/>
  <c r="V175" i="27" s="1"/>
  <c r="N175" i="27"/>
  <c r="L175" i="27"/>
  <c r="F175" i="27"/>
  <c r="E175" i="27"/>
  <c r="T174" i="27"/>
  <c r="V174" i="27" s="1"/>
  <c r="N174" i="27"/>
  <c r="L174" i="27"/>
  <c r="F174" i="27"/>
  <c r="E174" i="27"/>
  <c r="T173" i="27"/>
  <c r="V173" i="27" s="1"/>
  <c r="T172" i="27"/>
  <c r="V172" i="27" s="1"/>
  <c r="F172" i="27"/>
  <c r="E172" i="27"/>
  <c r="T171" i="27"/>
  <c r="V171" i="27" s="1"/>
  <c r="F171" i="27"/>
  <c r="E171" i="27"/>
  <c r="T170" i="27"/>
  <c r="V170" i="27" s="1"/>
  <c r="F170" i="27"/>
  <c r="E170" i="27"/>
  <c r="T169" i="27"/>
  <c r="V169" i="27" s="1"/>
  <c r="F169" i="27"/>
  <c r="E169" i="27"/>
  <c r="T168" i="27"/>
  <c r="V168" i="27" s="1"/>
  <c r="N168" i="27"/>
  <c r="L168" i="27"/>
  <c r="F168" i="27"/>
  <c r="E168" i="27"/>
  <c r="T167" i="27"/>
  <c r="V167" i="27" s="1"/>
  <c r="N167" i="27"/>
  <c r="L167" i="27"/>
  <c r="F167" i="27"/>
  <c r="E167" i="27"/>
  <c r="T166" i="27"/>
  <c r="V166" i="27" s="1"/>
  <c r="N166" i="27"/>
  <c r="L166" i="27"/>
  <c r="F166" i="27"/>
  <c r="E166" i="27"/>
  <c r="T165" i="27"/>
  <c r="V165" i="27" s="1"/>
  <c r="N165" i="27"/>
  <c r="L165" i="27"/>
  <c r="F165" i="27"/>
  <c r="E165" i="27"/>
  <c r="T164" i="27"/>
  <c r="V164" i="27" s="1"/>
  <c r="F164" i="27"/>
  <c r="E164" i="27"/>
  <c r="T163" i="27"/>
  <c r="V163" i="27" s="1"/>
  <c r="F163" i="27"/>
  <c r="E163" i="27"/>
  <c r="T162" i="27"/>
  <c r="V162" i="27" s="1"/>
  <c r="N162" i="27"/>
  <c r="L162" i="27"/>
  <c r="F162" i="27"/>
  <c r="E162" i="27"/>
  <c r="T161" i="27"/>
  <c r="V161" i="27" s="1"/>
  <c r="N161" i="27"/>
  <c r="L161" i="27"/>
  <c r="F161" i="27"/>
  <c r="E161" i="27"/>
  <c r="T160" i="27"/>
  <c r="V160" i="27" s="1"/>
  <c r="N160" i="27"/>
  <c r="L160" i="27"/>
  <c r="F160" i="27"/>
  <c r="E160" i="27"/>
  <c r="T159" i="27"/>
  <c r="V159" i="27" s="1"/>
  <c r="F159" i="27"/>
  <c r="E159" i="27"/>
  <c r="T158" i="27"/>
  <c r="V158" i="27" s="1"/>
  <c r="F158" i="27"/>
  <c r="E158" i="27"/>
  <c r="T157" i="27"/>
  <c r="V157" i="27" s="1"/>
  <c r="F157" i="27"/>
  <c r="E157" i="27"/>
  <c r="T156" i="27"/>
  <c r="V156" i="27" s="1"/>
  <c r="N156" i="27"/>
  <c r="L156" i="27"/>
  <c r="F156" i="27"/>
  <c r="E156" i="27"/>
  <c r="T155" i="27"/>
  <c r="V155" i="27" s="1"/>
  <c r="N155" i="27"/>
  <c r="L155" i="27"/>
  <c r="F155" i="27"/>
  <c r="E155" i="27"/>
  <c r="T154" i="27"/>
  <c r="V154" i="27" s="1"/>
  <c r="N154" i="27"/>
  <c r="L154" i="27"/>
  <c r="F154" i="27"/>
  <c r="E154" i="27"/>
  <c r="T153" i="27"/>
  <c r="V153" i="27" s="1"/>
  <c r="N153" i="27"/>
  <c r="L153" i="27"/>
  <c r="F153" i="27"/>
  <c r="E153" i="27"/>
  <c r="T152" i="27"/>
  <c r="V152" i="27" s="1"/>
  <c r="F152" i="27"/>
  <c r="E152" i="27"/>
  <c r="T151" i="27"/>
  <c r="V151" i="27" s="1"/>
  <c r="T150" i="27"/>
  <c r="V150" i="27" s="1"/>
  <c r="N150" i="27"/>
  <c r="L150" i="27"/>
  <c r="F150" i="27"/>
  <c r="E150" i="27"/>
  <c r="T149" i="27"/>
  <c r="V149" i="27" s="1"/>
  <c r="N149" i="27"/>
  <c r="L149" i="27"/>
  <c r="F149" i="27"/>
  <c r="E149" i="27"/>
  <c r="T148" i="27"/>
  <c r="V148" i="27" s="1"/>
  <c r="F148" i="27"/>
  <c r="E148" i="27"/>
  <c r="T147" i="27"/>
  <c r="V147" i="27" s="1"/>
  <c r="N147" i="27"/>
  <c r="L147" i="27"/>
  <c r="F147" i="27"/>
  <c r="E147" i="27"/>
  <c r="T146" i="27"/>
  <c r="V146" i="27" s="1"/>
  <c r="N146" i="27"/>
  <c r="L146" i="27"/>
  <c r="F146" i="27"/>
  <c r="E146" i="27"/>
  <c r="T145" i="27"/>
  <c r="V145" i="27" s="1"/>
  <c r="N145" i="27"/>
  <c r="L145" i="27"/>
  <c r="F145" i="27"/>
  <c r="E145" i="27"/>
  <c r="T144" i="27"/>
  <c r="V144" i="27" s="1"/>
  <c r="N144" i="27"/>
  <c r="L144" i="27"/>
  <c r="F144" i="27"/>
  <c r="E144" i="27"/>
  <c r="T143" i="27"/>
  <c r="V143" i="27" s="1"/>
  <c r="N143" i="27"/>
  <c r="L143" i="27"/>
  <c r="F143" i="27"/>
  <c r="E143" i="27"/>
  <c r="T142" i="27"/>
  <c r="V142" i="27" s="1"/>
  <c r="N142" i="27"/>
  <c r="L142" i="27"/>
  <c r="F142" i="27"/>
  <c r="E142" i="27"/>
  <c r="T141" i="27"/>
  <c r="V141" i="27" s="1"/>
  <c r="N141" i="27"/>
  <c r="L141" i="27"/>
  <c r="F141" i="27"/>
  <c r="E141" i="27"/>
  <c r="T140" i="27"/>
  <c r="V140" i="27" s="1"/>
  <c r="N140" i="27"/>
  <c r="L140" i="27"/>
  <c r="F140" i="27"/>
  <c r="E140" i="27"/>
  <c r="T139" i="27"/>
  <c r="V139" i="27" s="1"/>
  <c r="N139" i="27"/>
  <c r="L139" i="27"/>
  <c r="F139" i="27"/>
  <c r="E139" i="27"/>
  <c r="Q138" i="27"/>
  <c r="T138" i="27" s="1"/>
  <c r="V138" i="27" s="1"/>
  <c r="N138" i="27"/>
  <c r="L138" i="27"/>
  <c r="F138" i="27"/>
  <c r="E138" i="27"/>
  <c r="T137" i="27"/>
  <c r="V137" i="27" s="1"/>
  <c r="N137" i="27"/>
  <c r="L137" i="27"/>
  <c r="F137" i="27"/>
  <c r="E137" i="27"/>
  <c r="R136" i="27"/>
  <c r="T136" i="27" s="1"/>
  <c r="V136" i="27" s="1"/>
  <c r="N136" i="27"/>
  <c r="L136" i="27"/>
  <c r="F136" i="27"/>
  <c r="E136" i="27"/>
  <c r="T135" i="27"/>
  <c r="V135" i="27" s="1"/>
  <c r="T134" i="27"/>
  <c r="V134" i="27" s="1"/>
  <c r="F134" i="27"/>
  <c r="E134" i="27"/>
  <c r="T133" i="27"/>
  <c r="V133" i="27" s="1"/>
  <c r="F133" i="27"/>
  <c r="E133" i="27"/>
  <c r="T132" i="27"/>
  <c r="V132" i="27" s="1"/>
  <c r="F132" i="27"/>
  <c r="E132" i="27"/>
  <c r="T131" i="27"/>
  <c r="V131" i="27" s="1"/>
  <c r="F131" i="27"/>
  <c r="E131" i="27"/>
  <c r="T130" i="27"/>
  <c r="V130" i="27" s="1"/>
  <c r="F130" i="27"/>
  <c r="E130" i="27"/>
  <c r="T129" i="27"/>
  <c r="V129" i="27" s="1"/>
  <c r="F129" i="27"/>
  <c r="E129" i="27"/>
  <c r="T128" i="27"/>
  <c r="V128" i="27" s="1"/>
  <c r="F128" i="27"/>
  <c r="E128" i="27"/>
  <c r="T127" i="27"/>
  <c r="V127" i="27" s="1"/>
  <c r="F127" i="27"/>
  <c r="E127" i="27"/>
  <c r="T126" i="27"/>
  <c r="V126" i="27" s="1"/>
  <c r="T125" i="27"/>
  <c r="V125" i="27" s="1"/>
  <c r="N125" i="27"/>
  <c r="L125" i="27"/>
  <c r="F125" i="27"/>
  <c r="E125" i="27"/>
  <c r="T124" i="27"/>
  <c r="V124" i="27" s="1"/>
  <c r="N124" i="27"/>
  <c r="L124" i="27"/>
  <c r="F124" i="27"/>
  <c r="E124" i="27"/>
  <c r="T123" i="27"/>
  <c r="V123" i="27" s="1"/>
  <c r="N123" i="27"/>
  <c r="L123" i="27"/>
  <c r="F123" i="27"/>
  <c r="E123" i="27"/>
  <c r="T122" i="27"/>
  <c r="V122" i="27" s="1"/>
  <c r="N122" i="27"/>
  <c r="L122" i="27"/>
  <c r="F122" i="27"/>
  <c r="E122" i="27"/>
  <c r="T121" i="27"/>
  <c r="V121" i="27" s="1"/>
  <c r="T120" i="27"/>
  <c r="V120" i="27" s="1"/>
  <c r="T119" i="27"/>
  <c r="V119" i="27" s="1"/>
  <c r="T118" i="27"/>
  <c r="V118" i="27" s="1"/>
  <c r="T117" i="27"/>
  <c r="V117" i="27" s="1"/>
  <c r="T116" i="27"/>
  <c r="V116" i="27" s="1"/>
  <c r="T115" i="27"/>
  <c r="V115" i="27" s="1"/>
  <c r="R114" i="27"/>
  <c r="T114" i="27" s="1"/>
  <c r="V114" i="27" s="1"/>
  <c r="N114" i="27"/>
  <c r="L114" i="27"/>
  <c r="F114" i="27"/>
  <c r="E114" i="27"/>
  <c r="R113" i="27"/>
  <c r="T113" i="27" s="1"/>
  <c r="V113" i="27" s="1"/>
  <c r="N113" i="27"/>
  <c r="L113" i="27"/>
  <c r="F113" i="27"/>
  <c r="E113" i="27"/>
  <c r="R112" i="27"/>
  <c r="T112" i="27" s="1"/>
  <c r="V112" i="27" s="1"/>
  <c r="N112" i="27"/>
  <c r="L112" i="27"/>
  <c r="F112" i="27"/>
  <c r="E112" i="27"/>
  <c r="R111" i="27"/>
  <c r="T111" i="27" s="1"/>
  <c r="V111" i="27" s="1"/>
  <c r="N111" i="27"/>
  <c r="L111" i="27"/>
  <c r="F111" i="27"/>
  <c r="E111" i="27"/>
  <c r="R110" i="27"/>
  <c r="T110" i="27" s="1"/>
  <c r="V110" i="27" s="1"/>
  <c r="N110" i="27"/>
  <c r="L110" i="27"/>
  <c r="F110" i="27"/>
  <c r="E110" i="27"/>
  <c r="R109" i="27"/>
  <c r="T109" i="27" s="1"/>
  <c r="V109" i="27" s="1"/>
  <c r="N109" i="27"/>
  <c r="L109" i="27"/>
  <c r="F109" i="27"/>
  <c r="E109" i="27"/>
  <c r="R108" i="27"/>
  <c r="T108" i="27" s="1"/>
  <c r="V108" i="27" s="1"/>
  <c r="N108" i="27"/>
  <c r="L108" i="27"/>
  <c r="F108" i="27"/>
  <c r="E108" i="27"/>
  <c r="R107" i="27"/>
  <c r="T107" i="27" s="1"/>
  <c r="V107" i="27" s="1"/>
  <c r="N107" i="27"/>
  <c r="L107" i="27"/>
  <c r="F107" i="27"/>
  <c r="E107" i="27"/>
  <c r="T106" i="27"/>
  <c r="V106" i="27" s="1"/>
  <c r="T105" i="27"/>
  <c r="V105" i="27" s="1"/>
  <c r="T104" i="27"/>
  <c r="V104" i="27" s="1"/>
  <c r="F104" i="27"/>
  <c r="E104" i="27"/>
  <c r="T103" i="27"/>
  <c r="V103" i="27" s="1"/>
  <c r="N103" i="27"/>
  <c r="L103" i="27"/>
  <c r="F103" i="27"/>
  <c r="E103" i="27"/>
  <c r="T102" i="27"/>
  <c r="V102" i="27" s="1"/>
  <c r="N102" i="27"/>
  <c r="L102" i="27"/>
  <c r="F102" i="27"/>
  <c r="E102" i="27"/>
  <c r="T101" i="27"/>
  <c r="V101" i="27" s="1"/>
  <c r="F101" i="27"/>
  <c r="E101" i="27"/>
  <c r="T100" i="27"/>
  <c r="V100" i="27" s="1"/>
  <c r="F100" i="27"/>
  <c r="E100" i="27"/>
  <c r="T99" i="27"/>
  <c r="V99" i="27" s="1"/>
  <c r="F99" i="27"/>
  <c r="E99" i="27"/>
  <c r="T98" i="27"/>
  <c r="V98" i="27" s="1"/>
  <c r="F98" i="27"/>
  <c r="E98" i="27"/>
  <c r="T97" i="27"/>
  <c r="V97" i="27" s="1"/>
  <c r="F97" i="27"/>
  <c r="E97" i="27"/>
  <c r="T96" i="27"/>
  <c r="V96" i="27" s="1"/>
  <c r="S95" i="27"/>
  <c r="Q95" i="27"/>
  <c r="T95" i="27" s="1"/>
  <c r="V95" i="27" s="1"/>
  <c r="N95" i="27"/>
  <c r="L95" i="27"/>
  <c r="F95" i="27"/>
  <c r="E95" i="27"/>
  <c r="S94" i="27"/>
  <c r="Q94" i="27"/>
  <c r="T94" i="27" s="1"/>
  <c r="V94" i="27" s="1"/>
  <c r="N94" i="27"/>
  <c r="L94" i="27"/>
  <c r="F94" i="27"/>
  <c r="E94" i="27"/>
  <c r="S93" i="27"/>
  <c r="Q93" i="27"/>
  <c r="T93" i="27" s="1"/>
  <c r="V93" i="27" s="1"/>
  <c r="N93" i="27"/>
  <c r="L93" i="27"/>
  <c r="F93" i="27"/>
  <c r="E93" i="27"/>
  <c r="S92" i="27"/>
  <c r="T92" i="27" s="1"/>
  <c r="V92" i="27" s="1"/>
  <c r="N92" i="27"/>
  <c r="L92" i="27"/>
  <c r="F92" i="27"/>
  <c r="E92" i="27"/>
  <c r="S91" i="27"/>
  <c r="T91" i="27" s="1"/>
  <c r="V91" i="27" s="1"/>
  <c r="N91" i="27"/>
  <c r="L91" i="27"/>
  <c r="F91" i="27"/>
  <c r="E91" i="27"/>
  <c r="S90" i="27"/>
  <c r="T90" i="27" s="1"/>
  <c r="V90" i="27" s="1"/>
  <c r="N90" i="27"/>
  <c r="L90" i="27"/>
  <c r="F90" i="27"/>
  <c r="E90" i="27"/>
  <c r="S89" i="27"/>
  <c r="T89" i="27" s="1"/>
  <c r="V89" i="27" s="1"/>
  <c r="N89" i="27"/>
  <c r="L89" i="27"/>
  <c r="F89" i="27"/>
  <c r="E89" i="27"/>
  <c r="T88" i="27"/>
  <c r="V88" i="27" s="1"/>
  <c r="N88" i="27"/>
  <c r="L88" i="27"/>
  <c r="F88" i="27"/>
  <c r="E88" i="27"/>
  <c r="S87" i="27"/>
  <c r="T87" i="27" s="1"/>
  <c r="V87" i="27" s="1"/>
  <c r="N87" i="27"/>
  <c r="L87" i="27"/>
  <c r="F87" i="27"/>
  <c r="E87" i="27"/>
  <c r="S86" i="27"/>
  <c r="T86" i="27" s="1"/>
  <c r="V86" i="27" s="1"/>
  <c r="N86" i="27"/>
  <c r="L86" i="27"/>
  <c r="F86" i="27"/>
  <c r="E86" i="27"/>
  <c r="T85" i="27"/>
  <c r="V85" i="27" s="1"/>
  <c r="N85" i="27"/>
  <c r="L85" i="27"/>
  <c r="F85" i="27"/>
  <c r="E85" i="27"/>
  <c r="T84" i="27"/>
  <c r="V84" i="27" s="1"/>
  <c r="N84" i="27"/>
  <c r="L84" i="27"/>
  <c r="F84" i="27"/>
  <c r="E84" i="27"/>
  <c r="Z84" i="27" s="1"/>
  <c r="T83" i="27"/>
  <c r="V83" i="27" s="1"/>
  <c r="N83" i="27"/>
  <c r="L83" i="27"/>
  <c r="F83" i="27"/>
  <c r="E83" i="27"/>
  <c r="T82" i="27"/>
  <c r="V82" i="27" s="1"/>
  <c r="N82" i="27"/>
  <c r="L82" i="27"/>
  <c r="F82" i="27"/>
  <c r="E82" i="27"/>
  <c r="T81" i="27"/>
  <c r="V81" i="27" s="1"/>
  <c r="N81" i="27"/>
  <c r="L81" i="27"/>
  <c r="F81" i="27"/>
  <c r="E81" i="27"/>
  <c r="S80" i="27"/>
  <c r="T80" i="27" s="1"/>
  <c r="V80" i="27" s="1"/>
  <c r="N80" i="27"/>
  <c r="L80" i="27"/>
  <c r="F80" i="27"/>
  <c r="E80" i="27"/>
  <c r="T79" i="27"/>
  <c r="V79" i="27" s="1"/>
  <c r="T78" i="27"/>
  <c r="V78" i="27" s="1"/>
  <c r="N78" i="27"/>
  <c r="L78" i="27"/>
  <c r="F78" i="27"/>
  <c r="E78" i="27"/>
  <c r="T77" i="27"/>
  <c r="V77" i="27" s="1"/>
  <c r="N77" i="27"/>
  <c r="L77" i="27"/>
  <c r="F77" i="27"/>
  <c r="E77" i="27"/>
  <c r="T76" i="27"/>
  <c r="V76" i="27" s="1"/>
  <c r="N76" i="27"/>
  <c r="L76" i="27"/>
  <c r="F76" i="27"/>
  <c r="E76" i="27"/>
  <c r="T75" i="27"/>
  <c r="V75" i="27" s="1"/>
  <c r="N75" i="27"/>
  <c r="L75" i="27"/>
  <c r="F75" i="27"/>
  <c r="E75" i="27"/>
  <c r="T74" i="27"/>
  <c r="V74" i="27" s="1"/>
  <c r="N74" i="27"/>
  <c r="L74" i="27"/>
  <c r="F74" i="27"/>
  <c r="E74" i="27"/>
  <c r="Q73" i="27"/>
  <c r="T73" i="27" s="1"/>
  <c r="V73" i="27" s="1"/>
  <c r="N73" i="27"/>
  <c r="L73" i="27"/>
  <c r="F73" i="27"/>
  <c r="E73" i="27"/>
  <c r="T72" i="27"/>
  <c r="V72" i="27" s="1"/>
  <c r="N72" i="27"/>
  <c r="L72" i="27"/>
  <c r="F72" i="27"/>
  <c r="E72" i="27"/>
  <c r="T71" i="27"/>
  <c r="V71" i="27" s="1"/>
  <c r="N71" i="27"/>
  <c r="L71" i="27"/>
  <c r="F71" i="27"/>
  <c r="E71" i="27"/>
  <c r="T70" i="27"/>
  <c r="V70" i="27" s="1"/>
  <c r="T69" i="27"/>
  <c r="V69" i="27" s="1"/>
  <c r="N69" i="27"/>
  <c r="L69" i="27"/>
  <c r="F69" i="27"/>
  <c r="E69" i="27"/>
  <c r="T68" i="27"/>
  <c r="V68" i="27" s="1"/>
  <c r="N68" i="27"/>
  <c r="L68" i="27"/>
  <c r="F68" i="27"/>
  <c r="E68" i="27"/>
  <c r="T67" i="27"/>
  <c r="V67" i="27" s="1"/>
  <c r="R66" i="27"/>
  <c r="T66" i="27" s="1"/>
  <c r="V66" i="27" s="1"/>
  <c r="N66" i="27"/>
  <c r="L66" i="27"/>
  <c r="F66" i="27"/>
  <c r="E66" i="27"/>
  <c r="R65" i="27"/>
  <c r="T65" i="27" s="1"/>
  <c r="V65" i="27" s="1"/>
  <c r="N65" i="27"/>
  <c r="L65" i="27"/>
  <c r="F65" i="27"/>
  <c r="E65" i="27"/>
  <c r="T64" i="27"/>
  <c r="V64" i="27" s="1"/>
  <c r="N64" i="27"/>
  <c r="L64" i="27"/>
  <c r="F64" i="27"/>
  <c r="E64" i="27"/>
  <c r="T63" i="27"/>
  <c r="V63" i="27" s="1"/>
  <c r="T62" i="27"/>
  <c r="V62" i="27" s="1"/>
  <c r="N62" i="27"/>
  <c r="L62" i="27"/>
  <c r="F62" i="27"/>
  <c r="E62" i="27"/>
  <c r="R61" i="27"/>
  <c r="T61" i="27" s="1"/>
  <c r="V61" i="27" s="1"/>
  <c r="N61" i="27"/>
  <c r="L61" i="27"/>
  <c r="F61" i="27"/>
  <c r="E61" i="27"/>
  <c r="R60" i="27"/>
  <c r="T60" i="27" s="1"/>
  <c r="V60" i="27" s="1"/>
  <c r="N60" i="27"/>
  <c r="L60" i="27"/>
  <c r="F60" i="27"/>
  <c r="E60" i="27"/>
  <c r="R59" i="27"/>
  <c r="T59" i="27" s="1"/>
  <c r="V59" i="27" s="1"/>
  <c r="N59" i="27"/>
  <c r="L59" i="27"/>
  <c r="F59" i="27"/>
  <c r="E59" i="27"/>
  <c r="R58" i="27"/>
  <c r="T58" i="27" s="1"/>
  <c r="V58" i="27" s="1"/>
  <c r="N58" i="27"/>
  <c r="L58" i="27"/>
  <c r="F58" i="27"/>
  <c r="E58" i="27"/>
  <c r="R57" i="27"/>
  <c r="T57" i="27" s="1"/>
  <c r="V57" i="27" s="1"/>
  <c r="N57" i="27"/>
  <c r="L57" i="27"/>
  <c r="F57" i="27"/>
  <c r="E57" i="27"/>
  <c r="R56" i="27"/>
  <c r="T56" i="27" s="1"/>
  <c r="V56" i="27" s="1"/>
  <c r="N56" i="27"/>
  <c r="L56" i="27"/>
  <c r="F56" i="27"/>
  <c r="E56" i="27"/>
  <c r="R55" i="27"/>
  <c r="T55" i="27" s="1"/>
  <c r="V55" i="27" s="1"/>
  <c r="N55" i="27"/>
  <c r="L55" i="27"/>
  <c r="F55" i="27"/>
  <c r="E55" i="27"/>
  <c r="R54" i="27"/>
  <c r="T54" i="27" s="1"/>
  <c r="V54" i="27" s="1"/>
  <c r="N54" i="27"/>
  <c r="L54" i="27"/>
  <c r="F54" i="27"/>
  <c r="E54" i="27"/>
  <c r="R53" i="27"/>
  <c r="T53" i="27" s="1"/>
  <c r="V53" i="27" s="1"/>
  <c r="N53" i="27"/>
  <c r="L53" i="27"/>
  <c r="F53" i="27"/>
  <c r="E53" i="27"/>
  <c r="R52" i="27"/>
  <c r="T52" i="27" s="1"/>
  <c r="V52" i="27" s="1"/>
  <c r="N52" i="27"/>
  <c r="L52" i="27"/>
  <c r="F52" i="27"/>
  <c r="E52" i="27"/>
  <c r="R51" i="27"/>
  <c r="T51" i="27" s="1"/>
  <c r="V51" i="27" s="1"/>
  <c r="N51" i="27"/>
  <c r="L51" i="27"/>
  <c r="F51" i="27"/>
  <c r="E51" i="27"/>
  <c r="R50" i="27"/>
  <c r="T50" i="27" s="1"/>
  <c r="V50" i="27" s="1"/>
  <c r="N50" i="27"/>
  <c r="L50" i="27"/>
  <c r="F50" i="27"/>
  <c r="E50" i="27"/>
  <c r="R49" i="27"/>
  <c r="T49" i="27" s="1"/>
  <c r="V49" i="27" s="1"/>
  <c r="N49" i="27"/>
  <c r="L49" i="27"/>
  <c r="F49" i="27"/>
  <c r="E49" i="27"/>
  <c r="R48" i="27"/>
  <c r="T48" i="27" s="1"/>
  <c r="V48" i="27" s="1"/>
  <c r="N48" i="27"/>
  <c r="L48" i="27"/>
  <c r="F48" i="27"/>
  <c r="E48" i="27"/>
  <c r="R47" i="27"/>
  <c r="T47" i="27" s="1"/>
  <c r="V47" i="27" s="1"/>
  <c r="N47" i="27"/>
  <c r="L47" i="27"/>
  <c r="F47" i="27"/>
  <c r="E47" i="27"/>
  <c r="T46" i="27"/>
  <c r="V46" i="27" s="1"/>
  <c r="R45" i="27"/>
  <c r="Q45" i="27"/>
  <c r="T45" i="27" s="1"/>
  <c r="V45" i="27" s="1"/>
  <c r="N45" i="27"/>
  <c r="L45" i="27"/>
  <c r="F45" i="27"/>
  <c r="E45" i="27"/>
  <c r="R44" i="27"/>
  <c r="Q44" i="27"/>
  <c r="T44" i="27" s="1"/>
  <c r="V44" i="27" s="1"/>
  <c r="N44" i="27"/>
  <c r="L44" i="27"/>
  <c r="F44" i="27"/>
  <c r="E44" i="27"/>
  <c r="R43" i="27"/>
  <c r="Q43" i="27"/>
  <c r="T43" i="27" s="1"/>
  <c r="V43" i="27" s="1"/>
  <c r="N43" i="27"/>
  <c r="L43" i="27"/>
  <c r="F43" i="27"/>
  <c r="E43" i="27"/>
  <c r="R42" i="27"/>
  <c r="Q42" i="27"/>
  <c r="T42" i="27" s="1"/>
  <c r="V42" i="27" s="1"/>
  <c r="N42" i="27"/>
  <c r="L42" i="27"/>
  <c r="F42" i="27"/>
  <c r="E42" i="27"/>
  <c r="R41" i="27"/>
  <c r="T41" i="27" s="1"/>
  <c r="V41" i="27" s="1"/>
  <c r="N41" i="27"/>
  <c r="L41" i="27"/>
  <c r="F41" i="27"/>
  <c r="E41" i="27"/>
  <c r="R40" i="27"/>
  <c r="T40" i="27" s="1"/>
  <c r="V40" i="27" s="1"/>
  <c r="N40" i="27"/>
  <c r="L40" i="27"/>
  <c r="F40" i="27"/>
  <c r="E40" i="27"/>
  <c r="T39" i="27"/>
  <c r="V39" i="27" s="1"/>
  <c r="T38" i="27"/>
  <c r="V38" i="27" s="1"/>
  <c r="N38" i="27"/>
  <c r="L38" i="27"/>
  <c r="F38" i="27"/>
  <c r="E38" i="27"/>
  <c r="T37" i="27"/>
  <c r="V37" i="27" s="1"/>
  <c r="N37" i="27"/>
  <c r="L37" i="27"/>
  <c r="F37" i="27"/>
  <c r="E37" i="27"/>
  <c r="R36" i="27"/>
  <c r="Q36" i="27"/>
  <c r="T36" i="27" s="1"/>
  <c r="V36" i="27" s="1"/>
  <c r="N36" i="27"/>
  <c r="L36" i="27"/>
  <c r="F36" i="27"/>
  <c r="E36" i="27"/>
  <c r="R35" i="27"/>
  <c r="T35" i="27" s="1"/>
  <c r="V35" i="27" s="1"/>
  <c r="N35" i="27"/>
  <c r="L35" i="27"/>
  <c r="F35" i="27"/>
  <c r="E35" i="27"/>
  <c r="Z35" i="27" s="1"/>
  <c r="R34" i="27"/>
  <c r="T34" i="27" s="1"/>
  <c r="V34" i="27" s="1"/>
  <c r="N34" i="27"/>
  <c r="L34" i="27"/>
  <c r="F34" i="27"/>
  <c r="E34" i="27"/>
  <c r="R33" i="27"/>
  <c r="T33" i="27" s="1"/>
  <c r="V33" i="27" s="1"/>
  <c r="N33" i="27"/>
  <c r="L33" i="27"/>
  <c r="F33" i="27"/>
  <c r="E33" i="27"/>
  <c r="R32" i="27"/>
  <c r="T32" i="27" s="1"/>
  <c r="V32" i="27" s="1"/>
  <c r="N32" i="27"/>
  <c r="L32" i="27"/>
  <c r="F32" i="27"/>
  <c r="E32" i="27"/>
  <c r="Z32" i="27" s="1"/>
  <c r="R31" i="27"/>
  <c r="T31" i="27" s="1"/>
  <c r="V31" i="27" s="1"/>
  <c r="N31" i="27"/>
  <c r="L31" i="27"/>
  <c r="F31" i="27"/>
  <c r="E31" i="27"/>
  <c r="R30" i="27"/>
  <c r="T30" i="27" s="1"/>
  <c r="V30" i="27" s="1"/>
  <c r="N30" i="27"/>
  <c r="L30" i="27"/>
  <c r="F30" i="27"/>
  <c r="E30" i="27"/>
  <c r="R29" i="27"/>
  <c r="T29" i="27" s="1"/>
  <c r="V29" i="27" s="1"/>
  <c r="N29" i="27"/>
  <c r="L29" i="27"/>
  <c r="F29" i="27"/>
  <c r="E29" i="27"/>
  <c r="T28" i="27"/>
  <c r="V28" i="27" s="1"/>
  <c r="R27" i="27"/>
  <c r="T27" i="27" s="1"/>
  <c r="V27" i="27" s="1"/>
  <c r="N27" i="27"/>
  <c r="L27" i="27"/>
  <c r="F27" i="27"/>
  <c r="E27" i="27"/>
  <c r="R26" i="27"/>
  <c r="T26" i="27" s="1"/>
  <c r="V26" i="27" s="1"/>
  <c r="N26" i="27"/>
  <c r="L26" i="27"/>
  <c r="F26" i="27"/>
  <c r="E26" i="27"/>
  <c r="Z26" i="27" s="1"/>
  <c r="R25" i="27"/>
  <c r="T25" i="27" s="1"/>
  <c r="V25" i="27" s="1"/>
  <c r="N25" i="27"/>
  <c r="L25" i="27"/>
  <c r="F25" i="27"/>
  <c r="E25" i="27"/>
  <c r="R24" i="27"/>
  <c r="T24" i="27" s="1"/>
  <c r="V24" i="27" s="1"/>
  <c r="N24" i="27"/>
  <c r="L24" i="27"/>
  <c r="F24" i="27"/>
  <c r="E24" i="27"/>
  <c r="R23" i="27"/>
  <c r="T23" i="27" s="1"/>
  <c r="V23" i="27" s="1"/>
  <c r="N23" i="27"/>
  <c r="L23" i="27"/>
  <c r="F23" i="27"/>
  <c r="E23" i="27"/>
  <c r="R22" i="27"/>
  <c r="T22" i="27" s="1"/>
  <c r="V22" i="27" s="1"/>
  <c r="N22" i="27"/>
  <c r="L22" i="27"/>
  <c r="F22" i="27"/>
  <c r="E22" i="27"/>
  <c r="T21" i="27"/>
  <c r="V21" i="27" s="1"/>
  <c r="R20" i="27"/>
  <c r="T20" i="27" s="1"/>
  <c r="V20" i="27" s="1"/>
  <c r="N20" i="27"/>
  <c r="L20" i="27"/>
  <c r="F20" i="27"/>
  <c r="E20" i="27"/>
  <c r="Z20" i="27" s="1"/>
  <c r="R19" i="27"/>
  <c r="Q19" i="27"/>
  <c r="T19" i="27" s="1"/>
  <c r="V19" i="27" s="1"/>
  <c r="N19" i="27"/>
  <c r="L19" i="27"/>
  <c r="F19" i="27"/>
  <c r="E19" i="27"/>
  <c r="R18" i="27"/>
  <c r="Q18" i="27"/>
  <c r="T18" i="27" s="1"/>
  <c r="V18" i="27" s="1"/>
  <c r="N18" i="27"/>
  <c r="L18" i="27"/>
  <c r="F18" i="27"/>
  <c r="E18" i="27"/>
  <c r="R17" i="27"/>
  <c r="T17" i="27" s="1"/>
  <c r="V17" i="27" s="1"/>
  <c r="N17" i="27"/>
  <c r="L17" i="27"/>
  <c r="F17" i="27"/>
  <c r="E17" i="27"/>
  <c r="R16" i="27"/>
  <c r="T16" i="27" s="1"/>
  <c r="V16" i="27" s="1"/>
  <c r="N16" i="27"/>
  <c r="L16" i="27"/>
  <c r="F16" i="27"/>
  <c r="E16" i="27"/>
  <c r="R15" i="27"/>
  <c r="T15" i="27" s="1"/>
  <c r="V15" i="27" s="1"/>
  <c r="N15" i="27"/>
  <c r="L15" i="27"/>
  <c r="F15" i="27"/>
  <c r="E15" i="27"/>
  <c r="R14" i="27"/>
  <c r="Q14" i="27"/>
  <c r="T14" i="27" s="1"/>
  <c r="V14" i="27" s="1"/>
  <c r="N14" i="27"/>
  <c r="L14" i="27"/>
  <c r="F14" i="27"/>
  <c r="E14" i="27"/>
  <c r="R13" i="27"/>
  <c r="T13" i="27" s="1"/>
  <c r="V13" i="27" s="1"/>
  <c r="N13" i="27"/>
  <c r="L13" i="27"/>
  <c r="F13" i="27"/>
  <c r="E13" i="27"/>
  <c r="R12" i="27"/>
  <c r="T12" i="27" s="1"/>
  <c r="V12" i="27" s="1"/>
  <c r="N12" i="27"/>
  <c r="L12" i="27"/>
  <c r="F12" i="27"/>
  <c r="E12" i="27"/>
  <c r="T11" i="27"/>
  <c r="V11" i="27" s="1"/>
  <c r="R10" i="27"/>
  <c r="T10" i="27" s="1"/>
  <c r="V10" i="27" s="1"/>
  <c r="N10" i="27"/>
  <c r="L10" i="27"/>
  <c r="F10" i="27"/>
  <c r="E10" i="27"/>
  <c r="R9" i="27"/>
  <c r="T9" i="27" s="1"/>
  <c r="V9" i="27" s="1"/>
  <c r="N9" i="27"/>
  <c r="L9" i="27"/>
  <c r="F9" i="27"/>
  <c r="E9" i="27"/>
  <c r="Z9" i="27" s="1"/>
  <c r="R8" i="27"/>
  <c r="T8" i="27" s="1"/>
  <c r="V8" i="27" s="1"/>
  <c r="N8" i="27"/>
  <c r="L8" i="27"/>
  <c r="F8" i="27"/>
  <c r="E8" i="27"/>
  <c r="Z8" i="27" s="1"/>
  <c r="R7" i="27"/>
  <c r="T7" i="27" s="1"/>
  <c r="V7" i="27" s="1"/>
  <c r="N7" i="27"/>
  <c r="L7" i="27"/>
  <c r="F7" i="27"/>
  <c r="E7" i="27"/>
  <c r="Z7" i="27" s="1"/>
  <c r="R6" i="27"/>
  <c r="T6" i="27" s="1"/>
  <c r="V6" i="27" s="1"/>
  <c r="N6" i="27"/>
  <c r="L6" i="27"/>
  <c r="F6" i="27"/>
  <c r="E6" i="27"/>
  <c r="Z6" i="27" s="1"/>
  <c r="R5" i="27"/>
  <c r="T5" i="27" s="1"/>
  <c r="V5" i="27" s="1"/>
  <c r="N5" i="27"/>
  <c r="L5" i="27"/>
  <c r="F5" i="27"/>
  <c r="E5" i="27"/>
  <c r="Z5" i="27" s="1"/>
  <c r="T4" i="27"/>
  <c r="V4" i="27" s="1"/>
  <c r="A37" i="26"/>
  <c r="B37" i="26"/>
  <c r="C37" i="26"/>
  <c r="E37" i="26"/>
  <c r="A37" i="25"/>
  <c r="B37" i="25"/>
  <c r="C37" i="25"/>
  <c r="E37" i="25"/>
  <c r="U37" i="24"/>
  <c r="W37" i="24" s="1"/>
  <c r="O37" i="24" s="1"/>
  <c r="G37" i="24" s="1"/>
  <c r="U34" i="24"/>
  <c r="U36" i="24"/>
  <c r="U15" i="24"/>
  <c r="W15" i="24" s="1"/>
  <c r="O15" i="24" s="1"/>
  <c r="G15" i="24" s="1"/>
  <c r="A15" i="26"/>
  <c r="B15" i="26"/>
  <c r="C15" i="26"/>
  <c r="E15" i="26"/>
  <c r="A15" i="25"/>
  <c r="B15" i="25"/>
  <c r="C15" i="25"/>
  <c r="E15" i="25"/>
  <c r="I37" i="24" l="1"/>
  <c r="I37" i="25" s="1"/>
  <c r="H37" i="24"/>
  <c r="H37" i="25" s="1"/>
  <c r="J37" i="24"/>
  <c r="J37" i="25" s="1"/>
  <c r="AA5" i="27"/>
  <c r="I5" i="27"/>
  <c r="H5" i="27"/>
  <c r="G5" i="27"/>
  <c r="AA6" i="27"/>
  <c r="I6" i="27"/>
  <c r="H6" i="27"/>
  <c r="G6" i="27"/>
  <c r="AA7" i="27"/>
  <c r="I7" i="27"/>
  <c r="H7" i="27"/>
  <c r="G7" i="27"/>
  <c r="AA8" i="27"/>
  <c r="I8" i="27"/>
  <c r="H8" i="27"/>
  <c r="G8" i="27"/>
  <c r="AA9" i="27"/>
  <c r="I9" i="27"/>
  <c r="H9" i="27"/>
  <c r="G9" i="27"/>
  <c r="I10" i="27"/>
  <c r="H10" i="27"/>
  <c r="G10" i="27"/>
  <c r="I12" i="27"/>
  <c r="H12" i="27"/>
  <c r="G12" i="27"/>
  <c r="I13" i="27"/>
  <c r="H13" i="27"/>
  <c r="G13" i="27"/>
  <c r="I14" i="27"/>
  <c r="H14" i="27"/>
  <c r="G14" i="27"/>
  <c r="I15" i="27"/>
  <c r="H15" i="27"/>
  <c r="G15" i="27"/>
  <c r="I16" i="27"/>
  <c r="H16" i="27"/>
  <c r="G16" i="27"/>
  <c r="I17" i="27"/>
  <c r="H17" i="27"/>
  <c r="G17" i="27"/>
  <c r="I18" i="27"/>
  <c r="H18" i="27"/>
  <c r="G18" i="27"/>
  <c r="I19" i="27"/>
  <c r="H19" i="27"/>
  <c r="G19" i="27"/>
  <c r="AA20" i="27"/>
  <c r="I20" i="27"/>
  <c r="H20" i="27"/>
  <c r="G20" i="27"/>
  <c r="I22" i="27"/>
  <c r="H22" i="27"/>
  <c r="G22" i="27"/>
  <c r="I23" i="27"/>
  <c r="H23" i="27"/>
  <c r="G23" i="27"/>
  <c r="I24" i="27"/>
  <c r="H24" i="27"/>
  <c r="G24" i="27"/>
  <c r="I25" i="27"/>
  <c r="H25" i="27"/>
  <c r="G25" i="27"/>
  <c r="AA26" i="27"/>
  <c r="I26" i="27"/>
  <c r="H26" i="27"/>
  <c r="G26" i="27"/>
  <c r="I27" i="27"/>
  <c r="H27" i="27"/>
  <c r="G27" i="27"/>
  <c r="I29" i="27"/>
  <c r="H29" i="27"/>
  <c r="G29" i="27"/>
  <c r="I30" i="27"/>
  <c r="H30" i="27"/>
  <c r="G30" i="27"/>
  <c r="I31" i="27"/>
  <c r="H31" i="27"/>
  <c r="G31" i="27"/>
  <c r="AA32" i="27"/>
  <c r="I32" i="27"/>
  <c r="H32" i="27"/>
  <c r="G32" i="27"/>
  <c r="I33" i="27"/>
  <c r="H33" i="27"/>
  <c r="G33" i="27"/>
  <c r="I34" i="27"/>
  <c r="H34" i="27"/>
  <c r="G34" i="27"/>
  <c r="AA35" i="27"/>
  <c r="I35" i="27"/>
  <c r="H35" i="27"/>
  <c r="G35" i="27"/>
  <c r="I36" i="27"/>
  <c r="H36" i="27"/>
  <c r="G36" i="27"/>
  <c r="I37" i="27"/>
  <c r="H37" i="27"/>
  <c r="G37" i="27"/>
  <c r="I38" i="27"/>
  <c r="H38" i="27"/>
  <c r="G38" i="27"/>
  <c r="I40" i="27"/>
  <c r="H40" i="27"/>
  <c r="G40" i="27"/>
  <c r="I41" i="27"/>
  <c r="H41" i="27"/>
  <c r="G41" i="27"/>
  <c r="I42" i="27"/>
  <c r="H42" i="27"/>
  <c r="G42" i="27"/>
  <c r="I43" i="27"/>
  <c r="H43" i="27"/>
  <c r="G43" i="27"/>
  <c r="I44" i="27"/>
  <c r="H44" i="27"/>
  <c r="G44" i="27"/>
  <c r="I45" i="27"/>
  <c r="H45" i="27"/>
  <c r="G45" i="27"/>
  <c r="I47" i="27"/>
  <c r="H47" i="27"/>
  <c r="G47" i="27"/>
  <c r="I48" i="27"/>
  <c r="H48" i="27"/>
  <c r="G48" i="27"/>
  <c r="I49" i="27"/>
  <c r="H49" i="27"/>
  <c r="G49" i="27"/>
  <c r="I50" i="27"/>
  <c r="H50" i="27"/>
  <c r="G50" i="27"/>
  <c r="I51" i="27"/>
  <c r="H51" i="27"/>
  <c r="G51" i="27"/>
  <c r="I52" i="27"/>
  <c r="H52" i="27"/>
  <c r="G52" i="27"/>
  <c r="I53" i="27"/>
  <c r="H53" i="27"/>
  <c r="G53" i="27"/>
  <c r="I54" i="27"/>
  <c r="H54" i="27"/>
  <c r="G54" i="27"/>
  <c r="I55" i="27"/>
  <c r="H55" i="27"/>
  <c r="G55" i="27"/>
  <c r="I56" i="27"/>
  <c r="H56" i="27"/>
  <c r="G56" i="27"/>
  <c r="I57" i="27"/>
  <c r="H57" i="27"/>
  <c r="G57" i="27"/>
  <c r="I58" i="27"/>
  <c r="H58" i="27"/>
  <c r="G58" i="27"/>
  <c r="I59" i="27"/>
  <c r="H59" i="27"/>
  <c r="G59" i="27"/>
  <c r="I60" i="27"/>
  <c r="H60" i="27"/>
  <c r="G60" i="27"/>
  <c r="I61" i="27"/>
  <c r="H61" i="27"/>
  <c r="G61" i="27"/>
  <c r="I62" i="27"/>
  <c r="H62" i="27"/>
  <c r="G62" i="27"/>
  <c r="I64" i="27"/>
  <c r="H64" i="27"/>
  <c r="G64" i="27"/>
  <c r="I65" i="27"/>
  <c r="H65" i="27"/>
  <c r="G65" i="27"/>
  <c r="I66" i="27"/>
  <c r="H66" i="27"/>
  <c r="G66" i="27"/>
  <c r="I71" i="27"/>
  <c r="H71" i="27"/>
  <c r="G71" i="27"/>
  <c r="I72" i="27"/>
  <c r="H72" i="27"/>
  <c r="G72" i="27"/>
  <c r="I73" i="27"/>
  <c r="H73" i="27"/>
  <c r="G73" i="27"/>
  <c r="I74" i="27"/>
  <c r="H74" i="27"/>
  <c r="G74" i="27"/>
  <c r="I75" i="27"/>
  <c r="H75" i="27"/>
  <c r="G75" i="27"/>
  <c r="I76" i="27"/>
  <c r="H76" i="27"/>
  <c r="G76" i="27"/>
  <c r="I77" i="27"/>
  <c r="H77" i="27"/>
  <c r="G77" i="27"/>
  <c r="I78" i="27"/>
  <c r="H78" i="27"/>
  <c r="G78" i="27"/>
  <c r="I80" i="27"/>
  <c r="H80" i="27"/>
  <c r="G80" i="27"/>
  <c r="I81" i="27"/>
  <c r="H81" i="27"/>
  <c r="G81" i="27"/>
  <c r="I82" i="27"/>
  <c r="H82" i="27"/>
  <c r="G82" i="27"/>
  <c r="I83" i="27"/>
  <c r="H83" i="27"/>
  <c r="G83" i="27"/>
  <c r="AA84" i="27"/>
  <c r="I84" i="27"/>
  <c r="H84" i="27"/>
  <c r="G84" i="27"/>
  <c r="I85" i="27"/>
  <c r="H85" i="27"/>
  <c r="G85" i="27"/>
  <c r="I86" i="27"/>
  <c r="H86" i="27"/>
  <c r="G86" i="27"/>
  <c r="I87" i="27"/>
  <c r="H87" i="27"/>
  <c r="G87" i="27"/>
  <c r="I88" i="27"/>
  <c r="H88" i="27"/>
  <c r="G88" i="27"/>
  <c r="I89" i="27"/>
  <c r="H89" i="27"/>
  <c r="G89" i="27"/>
  <c r="I90" i="27"/>
  <c r="H90" i="27"/>
  <c r="G90" i="27"/>
  <c r="I91" i="27"/>
  <c r="H91" i="27"/>
  <c r="G91" i="27"/>
  <c r="I92" i="27"/>
  <c r="H92" i="27"/>
  <c r="G92" i="27"/>
  <c r="I93" i="27"/>
  <c r="H93" i="27"/>
  <c r="G93" i="27"/>
  <c r="I94" i="27"/>
  <c r="H94" i="27"/>
  <c r="G94" i="27"/>
  <c r="I95" i="27"/>
  <c r="H95" i="27"/>
  <c r="G95" i="27"/>
  <c r="I97" i="27"/>
  <c r="H97" i="27"/>
  <c r="G97" i="27"/>
  <c r="I98" i="27"/>
  <c r="H98" i="27"/>
  <c r="G98" i="27"/>
  <c r="I99" i="27"/>
  <c r="H99" i="27"/>
  <c r="G99" i="27"/>
  <c r="I100" i="27"/>
  <c r="H100" i="27"/>
  <c r="G100" i="27"/>
  <c r="I101" i="27"/>
  <c r="H101" i="27"/>
  <c r="G101" i="27"/>
  <c r="I102" i="27"/>
  <c r="H102" i="27"/>
  <c r="G102" i="27"/>
  <c r="I103" i="27"/>
  <c r="H103" i="27"/>
  <c r="G103" i="27"/>
  <c r="I104" i="27"/>
  <c r="H104" i="27"/>
  <c r="G104" i="27"/>
  <c r="I107" i="27"/>
  <c r="H107" i="27"/>
  <c r="G107" i="27"/>
  <c r="I108" i="27"/>
  <c r="H108" i="27"/>
  <c r="G108" i="27"/>
  <c r="I109" i="27"/>
  <c r="H109" i="27"/>
  <c r="G109" i="27"/>
  <c r="I110" i="27"/>
  <c r="H110" i="27"/>
  <c r="G110" i="27"/>
  <c r="I111" i="27"/>
  <c r="H111" i="27"/>
  <c r="G111" i="27"/>
  <c r="I112" i="27"/>
  <c r="H112" i="27"/>
  <c r="G112" i="27"/>
  <c r="I113" i="27"/>
  <c r="H113" i="27"/>
  <c r="G113" i="27"/>
  <c r="I114" i="27"/>
  <c r="H114" i="27"/>
  <c r="G114" i="27"/>
  <c r="I122" i="27"/>
  <c r="H122" i="27"/>
  <c r="G122" i="27"/>
  <c r="I123" i="27"/>
  <c r="H123" i="27"/>
  <c r="G123" i="27"/>
  <c r="I124" i="27"/>
  <c r="H124" i="27"/>
  <c r="G124" i="27"/>
  <c r="I125" i="27"/>
  <c r="H125" i="27"/>
  <c r="G125" i="27"/>
  <c r="I127" i="27"/>
  <c r="H127" i="27"/>
  <c r="G127" i="27"/>
  <c r="I128" i="27"/>
  <c r="H128" i="27"/>
  <c r="G128" i="27"/>
  <c r="I129" i="27"/>
  <c r="H129" i="27"/>
  <c r="G129" i="27"/>
  <c r="I130" i="27"/>
  <c r="H130" i="27"/>
  <c r="G130" i="27"/>
  <c r="I131" i="27"/>
  <c r="H131" i="27"/>
  <c r="G131" i="27"/>
  <c r="I132" i="27"/>
  <c r="H132" i="27"/>
  <c r="G132" i="27"/>
  <c r="I133" i="27"/>
  <c r="H133" i="27"/>
  <c r="G133" i="27"/>
  <c r="I134" i="27"/>
  <c r="H134" i="27"/>
  <c r="G134" i="27"/>
  <c r="I136" i="27"/>
  <c r="H136" i="27"/>
  <c r="G136" i="27"/>
  <c r="I137" i="27"/>
  <c r="H137" i="27"/>
  <c r="G137" i="27"/>
  <c r="I138" i="27"/>
  <c r="H138" i="27"/>
  <c r="G138" i="27"/>
  <c r="I139" i="27"/>
  <c r="H139" i="27"/>
  <c r="G139" i="27"/>
  <c r="I140" i="27"/>
  <c r="H140" i="27"/>
  <c r="G140" i="27"/>
  <c r="I141" i="27"/>
  <c r="H141" i="27"/>
  <c r="G141" i="27"/>
  <c r="I142" i="27"/>
  <c r="H142" i="27"/>
  <c r="G142" i="27"/>
  <c r="I143" i="27"/>
  <c r="H143" i="27"/>
  <c r="G143" i="27"/>
  <c r="I144" i="27"/>
  <c r="H144" i="27"/>
  <c r="G144" i="27"/>
  <c r="I145" i="27"/>
  <c r="H145" i="27"/>
  <c r="G145" i="27"/>
  <c r="I146" i="27"/>
  <c r="H146" i="27"/>
  <c r="G146" i="27"/>
  <c r="I147" i="27"/>
  <c r="H147" i="27"/>
  <c r="G147" i="27"/>
  <c r="I148" i="27"/>
  <c r="H148" i="27"/>
  <c r="G148" i="27"/>
  <c r="I149" i="27"/>
  <c r="H149" i="27"/>
  <c r="G149" i="27"/>
  <c r="I150" i="27"/>
  <c r="H150" i="27"/>
  <c r="G150" i="27"/>
  <c r="I152" i="27"/>
  <c r="H152" i="27"/>
  <c r="G152" i="27"/>
  <c r="I153" i="27"/>
  <c r="H153" i="27"/>
  <c r="G153" i="27"/>
  <c r="I154" i="27"/>
  <c r="H154" i="27"/>
  <c r="G154" i="27"/>
  <c r="I155" i="27"/>
  <c r="H155" i="27"/>
  <c r="G155" i="27"/>
  <c r="I156" i="27"/>
  <c r="H156" i="27"/>
  <c r="G156" i="27"/>
  <c r="I157" i="27"/>
  <c r="H157" i="27"/>
  <c r="G157" i="27"/>
  <c r="I158" i="27"/>
  <c r="H158" i="27"/>
  <c r="G158" i="27"/>
  <c r="I159" i="27"/>
  <c r="H159" i="27"/>
  <c r="G159" i="27"/>
  <c r="I160" i="27"/>
  <c r="H160" i="27"/>
  <c r="G160" i="27"/>
  <c r="I161" i="27"/>
  <c r="H161" i="27"/>
  <c r="G161" i="27"/>
  <c r="I162" i="27"/>
  <c r="H162" i="27"/>
  <c r="G162" i="27"/>
  <c r="I163" i="27"/>
  <c r="H163" i="27"/>
  <c r="G163" i="27"/>
  <c r="I164" i="27"/>
  <c r="H164" i="27"/>
  <c r="G164" i="27"/>
  <c r="I165" i="27"/>
  <c r="H165" i="27"/>
  <c r="G165" i="27"/>
  <c r="I166" i="27"/>
  <c r="H166" i="27"/>
  <c r="G166" i="27"/>
  <c r="I167" i="27"/>
  <c r="H167" i="27"/>
  <c r="G167" i="27"/>
  <c r="I168" i="27"/>
  <c r="H168" i="27"/>
  <c r="G168" i="27"/>
  <c r="I169" i="27"/>
  <c r="H169" i="27"/>
  <c r="G169" i="27"/>
  <c r="I170" i="27"/>
  <c r="H170" i="27"/>
  <c r="G170" i="27"/>
  <c r="I171" i="27"/>
  <c r="H171" i="27"/>
  <c r="G171" i="27"/>
  <c r="I172" i="27"/>
  <c r="H172" i="27"/>
  <c r="G172" i="27"/>
  <c r="I174" i="27"/>
  <c r="H174" i="27"/>
  <c r="G174" i="27"/>
  <c r="I175" i="27"/>
  <c r="H175" i="27"/>
  <c r="G175" i="27"/>
  <c r="I176" i="27"/>
  <c r="H176" i="27"/>
  <c r="G176" i="27"/>
  <c r="I177" i="27"/>
  <c r="H177" i="27"/>
  <c r="G177" i="27"/>
  <c r="I178" i="27"/>
  <c r="H178" i="27"/>
  <c r="G178" i="27"/>
  <c r="I179" i="27"/>
  <c r="H179" i="27"/>
  <c r="G179" i="27"/>
  <c r="I180" i="27"/>
  <c r="H180" i="27"/>
  <c r="G180" i="27"/>
  <c r="I181" i="27"/>
  <c r="H181" i="27"/>
  <c r="G181" i="27"/>
  <c r="I182" i="27"/>
  <c r="H182" i="27"/>
  <c r="G182" i="27"/>
  <c r="I183" i="27"/>
  <c r="H183" i="27"/>
  <c r="G183" i="27"/>
  <c r="I186" i="27"/>
  <c r="H186" i="27"/>
  <c r="G186" i="27"/>
  <c r="I187" i="27"/>
  <c r="H187" i="27"/>
  <c r="G187" i="27"/>
  <c r="I188" i="27"/>
  <c r="H188" i="27"/>
  <c r="G188" i="27"/>
  <c r="I189" i="27"/>
  <c r="H189" i="27"/>
  <c r="G189" i="27"/>
  <c r="I190" i="27"/>
  <c r="H190" i="27"/>
  <c r="G190" i="27"/>
  <c r="I191" i="27"/>
  <c r="H191" i="27"/>
  <c r="G191" i="27"/>
  <c r="I192" i="27"/>
  <c r="H192" i="27"/>
  <c r="G192" i="27"/>
  <c r="I193" i="27"/>
  <c r="H193" i="27"/>
  <c r="G193" i="27"/>
  <c r="I194" i="27"/>
  <c r="H194" i="27"/>
  <c r="G194" i="27"/>
  <c r="I195" i="27"/>
  <c r="H195" i="27"/>
  <c r="G195" i="27"/>
  <c r="I214" i="27"/>
  <c r="H214" i="27"/>
  <c r="G214" i="27"/>
  <c r="I215" i="27"/>
  <c r="H215" i="27"/>
  <c r="G215" i="27"/>
  <c r="I216" i="27"/>
  <c r="H216" i="27"/>
  <c r="G216" i="27"/>
  <c r="I217" i="27"/>
  <c r="H217" i="27"/>
  <c r="G217" i="27"/>
  <c r="I218" i="27"/>
  <c r="H218" i="27"/>
  <c r="G218" i="27"/>
  <c r="I220" i="27"/>
  <c r="H220" i="27"/>
  <c r="G220" i="27"/>
  <c r="I221" i="27"/>
  <c r="H221" i="27"/>
  <c r="G221" i="27"/>
  <c r="I224" i="27"/>
  <c r="H224" i="27"/>
  <c r="G224" i="27"/>
  <c r="G37" i="25"/>
  <c r="M15" i="24"/>
  <c r="F15" i="24" s="1"/>
  <c r="P1" i="23"/>
  <c r="Q4" i="23"/>
  <c r="Q3" i="23"/>
  <c r="T8" i="23"/>
  <c r="V8" i="23" s="1"/>
  <c r="T7" i="23"/>
  <c r="V7" i="23" s="1"/>
  <c r="T6" i="23"/>
  <c r="V6" i="23" s="1"/>
  <c r="T5" i="23"/>
  <c r="V5" i="23" s="1"/>
  <c r="F37" i="24" l="1"/>
  <c r="G15" i="26"/>
  <c r="F15" i="26" s="1"/>
  <c r="F15" i="25"/>
  <c r="H15" i="24"/>
  <c r="H15" i="25" s="1"/>
  <c r="I15" i="24"/>
  <c r="I15" i="25" s="1"/>
  <c r="J15" i="24"/>
  <c r="J15" i="25" s="1"/>
  <c r="G15" i="25"/>
  <c r="L6" i="23"/>
  <c r="E6" i="23" s="1"/>
  <c r="L5" i="23"/>
  <c r="E5" i="23" s="1"/>
  <c r="N5" i="23"/>
  <c r="F5" i="23" s="1"/>
  <c r="N6" i="23"/>
  <c r="F6" i="23" s="1"/>
  <c r="L8" i="23"/>
  <c r="E8" i="23" s="1"/>
  <c r="N8" i="23"/>
  <c r="F8" i="23" s="1"/>
  <c r="L7" i="23"/>
  <c r="E7" i="23" s="1"/>
  <c r="N7" i="23"/>
  <c r="F7" i="23" s="1"/>
  <c r="A66" i="26"/>
  <c r="B66" i="26"/>
  <c r="C66" i="26"/>
  <c r="E66" i="26"/>
  <c r="A66" i="25"/>
  <c r="B66" i="25"/>
  <c r="C66" i="25"/>
  <c r="E66" i="25"/>
  <c r="U66" i="24"/>
  <c r="W66" i="24" s="1"/>
  <c r="O66" i="24" s="1"/>
  <c r="G66" i="24" s="1"/>
  <c r="G37" i="26" l="1"/>
  <c r="F37" i="26" s="1"/>
  <c r="F37" i="25"/>
  <c r="G66" i="25"/>
  <c r="G7" i="23"/>
  <c r="H7" i="23"/>
  <c r="I7" i="23"/>
  <c r="G8" i="23"/>
  <c r="H8" i="23"/>
  <c r="I8" i="23"/>
  <c r="G6" i="23"/>
  <c r="H6" i="23"/>
  <c r="I6" i="23"/>
  <c r="G5" i="23"/>
  <c r="H5" i="23"/>
  <c r="I5" i="23"/>
  <c r="M66" i="24"/>
  <c r="F66" i="24" s="1"/>
  <c r="H66" i="24" l="1"/>
  <c r="H66" i="25" s="1"/>
  <c r="I66" i="24"/>
  <c r="I66" i="25" s="1"/>
  <c r="J66" i="24"/>
  <c r="J66" i="25" s="1"/>
  <c r="G66" i="26"/>
  <c r="F66" i="26" s="1"/>
  <c r="F66" i="25" l="1"/>
  <c r="U13" i="24"/>
  <c r="W13" i="24" l="1"/>
  <c r="O13" i="24" s="1"/>
  <c r="G13" i="24" s="1"/>
  <c r="K218" i="26"/>
  <c r="J218" i="26"/>
  <c r="I218" i="26"/>
  <c r="E218" i="26"/>
  <c r="C218" i="26"/>
  <c r="B218" i="26"/>
  <c r="A218" i="26"/>
  <c r="E217" i="26"/>
  <c r="C217" i="26"/>
  <c r="B217" i="26"/>
  <c r="A217" i="26"/>
  <c r="E215" i="26"/>
  <c r="C215" i="26"/>
  <c r="B215" i="26"/>
  <c r="A215" i="26"/>
  <c r="E213" i="26"/>
  <c r="C213" i="26"/>
  <c r="B213" i="26"/>
  <c r="A213" i="26"/>
  <c r="E212" i="26"/>
  <c r="C212" i="26"/>
  <c r="B212" i="26"/>
  <c r="A212" i="26"/>
  <c r="E211" i="26"/>
  <c r="C211" i="26"/>
  <c r="B211" i="26"/>
  <c r="A211" i="26"/>
  <c r="E210" i="26"/>
  <c r="C210" i="26"/>
  <c r="B210" i="26"/>
  <c r="A210" i="26"/>
  <c r="E207" i="26"/>
  <c r="C207" i="26"/>
  <c r="B207" i="26"/>
  <c r="A207" i="26"/>
  <c r="E206" i="26"/>
  <c r="C206" i="26"/>
  <c r="B206" i="26"/>
  <c r="A206" i="26"/>
  <c r="E205" i="26"/>
  <c r="C205" i="26"/>
  <c r="B205" i="26"/>
  <c r="A205" i="26"/>
  <c r="E204" i="26"/>
  <c r="C204" i="26"/>
  <c r="B204" i="26"/>
  <c r="A204" i="26"/>
  <c r="E203" i="26"/>
  <c r="C203" i="26"/>
  <c r="B203" i="26"/>
  <c r="A203" i="26"/>
  <c r="E202" i="26"/>
  <c r="C202" i="26"/>
  <c r="B202" i="26"/>
  <c r="A202" i="26"/>
  <c r="E201" i="26"/>
  <c r="C201" i="26"/>
  <c r="B201" i="26"/>
  <c r="A201" i="26"/>
  <c r="E200" i="26"/>
  <c r="C200" i="26"/>
  <c r="B200" i="26"/>
  <c r="A200" i="26"/>
  <c r="E199" i="26"/>
  <c r="C199" i="26"/>
  <c r="B199" i="26"/>
  <c r="A199" i="26"/>
  <c r="E198" i="26"/>
  <c r="C198" i="26"/>
  <c r="B198" i="26"/>
  <c r="A198" i="26"/>
  <c r="E197" i="26"/>
  <c r="C197" i="26"/>
  <c r="B197" i="26"/>
  <c r="A197" i="26"/>
  <c r="E196" i="26"/>
  <c r="C196" i="26"/>
  <c r="B196" i="26"/>
  <c r="A196" i="26"/>
  <c r="E195" i="26"/>
  <c r="C195" i="26"/>
  <c r="B195" i="26"/>
  <c r="A195" i="26"/>
  <c r="E194" i="26"/>
  <c r="C194" i="26"/>
  <c r="B194" i="26"/>
  <c r="A194" i="26"/>
  <c r="E193" i="26"/>
  <c r="C193" i="26"/>
  <c r="B193" i="26"/>
  <c r="A193" i="26"/>
  <c r="E192" i="26"/>
  <c r="C192" i="26"/>
  <c r="B192" i="26"/>
  <c r="A192" i="26"/>
  <c r="E190" i="26"/>
  <c r="C190" i="26"/>
  <c r="B190" i="26"/>
  <c r="A190" i="26"/>
  <c r="E189" i="26"/>
  <c r="C189" i="26"/>
  <c r="B189" i="26"/>
  <c r="A189" i="26"/>
  <c r="E188" i="26"/>
  <c r="C188" i="26"/>
  <c r="B188" i="26"/>
  <c r="A188" i="26"/>
  <c r="E187" i="26"/>
  <c r="C187" i="26"/>
  <c r="B187" i="26"/>
  <c r="A187" i="26"/>
  <c r="E186" i="26"/>
  <c r="C186" i="26"/>
  <c r="B186" i="26"/>
  <c r="A186" i="26"/>
  <c r="E183" i="26"/>
  <c r="C183" i="26"/>
  <c r="B183" i="26"/>
  <c r="A183" i="26"/>
  <c r="E182" i="26"/>
  <c r="C182" i="26"/>
  <c r="B182" i="26"/>
  <c r="A182" i="26"/>
  <c r="E181" i="26"/>
  <c r="C181" i="26"/>
  <c r="B181" i="26"/>
  <c r="A181" i="26"/>
  <c r="E180" i="26"/>
  <c r="C180" i="26"/>
  <c r="B180" i="26"/>
  <c r="A180" i="26"/>
  <c r="E179" i="26"/>
  <c r="C179" i="26"/>
  <c r="B179" i="26"/>
  <c r="A179" i="26"/>
  <c r="E178" i="26"/>
  <c r="C178" i="26"/>
  <c r="B178" i="26"/>
  <c r="A178" i="26"/>
  <c r="E177" i="26"/>
  <c r="C177" i="26"/>
  <c r="B177" i="26"/>
  <c r="A177" i="26"/>
  <c r="E176" i="26"/>
  <c r="C176" i="26"/>
  <c r="B176" i="26"/>
  <c r="A176" i="26"/>
  <c r="E175" i="26"/>
  <c r="C175" i="26"/>
  <c r="B175" i="26"/>
  <c r="A175" i="26"/>
  <c r="E174" i="26"/>
  <c r="C174" i="26"/>
  <c r="B174" i="26"/>
  <c r="A174" i="26"/>
  <c r="E173" i="26"/>
  <c r="C173" i="26"/>
  <c r="B173" i="26"/>
  <c r="A173" i="26"/>
  <c r="E171" i="26"/>
  <c r="C171" i="26"/>
  <c r="B171" i="26"/>
  <c r="A171" i="26"/>
  <c r="E170" i="26"/>
  <c r="C170" i="26"/>
  <c r="B170" i="26"/>
  <c r="A170" i="26"/>
  <c r="E169" i="26"/>
  <c r="C169" i="26"/>
  <c r="B169" i="26"/>
  <c r="A169" i="26"/>
  <c r="E168" i="26"/>
  <c r="C168" i="26"/>
  <c r="B168" i="26"/>
  <c r="A168" i="26"/>
  <c r="E167" i="26"/>
  <c r="C167" i="26"/>
  <c r="B167" i="26"/>
  <c r="A167" i="26"/>
  <c r="E166" i="26"/>
  <c r="C166" i="26"/>
  <c r="B166" i="26"/>
  <c r="A166" i="26"/>
  <c r="E165" i="26"/>
  <c r="C165" i="26"/>
  <c r="B165" i="26"/>
  <c r="A165" i="26"/>
  <c r="E163" i="26"/>
  <c r="C163" i="26"/>
  <c r="B163" i="26"/>
  <c r="A163" i="26"/>
  <c r="E162" i="26"/>
  <c r="C162" i="26"/>
  <c r="B162" i="26"/>
  <c r="A162" i="26"/>
  <c r="E161" i="26"/>
  <c r="C161" i="26"/>
  <c r="B161" i="26"/>
  <c r="A161" i="26"/>
  <c r="E160" i="26"/>
  <c r="C160" i="26"/>
  <c r="B160" i="26"/>
  <c r="A160" i="26"/>
  <c r="E158" i="26"/>
  <c r="C158" i="26"/>
  <c r="B158" i="26"/>
  <c r="A158" i="26"/>
  <c r="E156" i="26"/>
  <c r="C156" i="26"/>
  <c r="B156" i="26"/>
  <c r="A156" i="26"/>
  <c r="E155" i="26"/>
  <c r="C155" i="26"/>
  <c r="B155" i="26"/>
  <c r="A155" i="26"/>
  <c r="E154" i="26"/>
  <c r="C154" i="26"/>
  <c r="B154" i="26"/>
  <c r="A154" i="26"/>
  <c r="E153" i="26"/>
  <c r="C153" i="26"/>
  <c r="B153" i="26"/>
  <c r="A153" i="26"/>
  <c r="E152" i="26"/>
  <c r="C152" i="26"/>
  <c r="B152" i="26"/>
  <c r="A152" i="26"/>
  <c r="E151" i="26"/>
  <c r="C151" i="26"/>
  <c r="B151" i="26"/>
  <c r="A151" i="26"/>
  <c r="E150" i="26"/>
  <c r="C150" i="26"/>
  <c r="B150" i="26"/>
  <c r="A150" i="26"/>
  <c r="E148" i="26"/>
  <c r="C148" i="26"/>
  <c r="B148" i="26"/>
  <c r="A148" i="26"/>
  <c r="E147" i="26"/>
  <c r="C147" i="26"/>
  <c r="B147" i="26"/>
  <c r="A147" i="26"/>
  <c r="E146" i="26"/>
  <c r="C146" i="26"/>
  <c r="B146" i="26"/>
  <c r="A146" i="26"/>
  <c r="E145" i="26"/>
  <c r="C145" i="26"/>
  <c r="B145" i="26"/>
  <c r="A145" i="26"/>
  <c r="E144" i="26"/>
  <c r="C144" i="26"/>
  <c r="B144" i="26"/>
  <c r="A144" i="26"/>
  <c r="E143" i="26"/>
  <c r="C143" i="26"/>
  <c r="B143" i="26"/>
  <c r="A143" i="26"/>
  <c r="E142" i="26"/>
  <c r="C142" i="26"/>
  <c r="B142" i="26"/>
  <c r="A142" i="26"/>
  <c r="E141" i="26"/>
  <c r="C141" i="26"/>
  <c r="B141" i="26"/>
  <c r="A141" i="26"/>
  <c r="E139" i="26"/>
  <c r="C139" i="26"/>
  <c r="B139" i="26"/>
  <c r="A139" i="26"/>
  <c r="E138" i="26"/>
  <c r="C138" i="26"/>
  <c r="B138" i="26"/>
  <c r="A138" i="26"/>
  <c r="E137" i="26"/>
  <c r="C137" i="26"/>
  <c r="B137" i="26"/>
  <c r="A137" i="26"/>
  <c r="E136" i="26"/>
  <c r="C136" i="26"/>
  <c r="B136" i="26"/>
  <c r="A136" i="26"/>
  <c r="E135" i="26"/>
  <c r="C135" i="26"/>
  <c r="B135" i="26"/>
  <c r="A135" i="26"/>
  <c r="E134" i="26"/>
  <c r="C134" i="26"/>
  <c r="B134" i="26"/>
  <c r="A134" i="26"/>
  <c r="E133" i="26"/>
  <c r="C133" i="26"/>
  <c r="B133" i="26"/>
  <c r="A133" i="26"/>
  <c r="E132" i="26"/>
  <c r="C132" i="26"/>
  <c r="B132" i="26"/>
  <c r="A132" i="26"/>
  <c r="E130" i="26"/>
  <c r="C130" i="26"/>
  <c r="B130" i="26"/>
  <c r="A130" i="26"/>
  <c r="E127" i="26"/>
  <c r="C127" i="26"/>
  <c r="B127" i="26"/>
  <c r="A127" i="26"/>
  <c r="E126" i="26"/>
  <c r="C126" i="26"/>
  <c r="B126" i="26"/>
  <c r="A126" i="26"/>
  <c r="E125" i="26"/>
  <c r="C125" i="26"/>
  <c r="B125" i="26"/>
  <c r="A125" i="26"/>
  <c r="K123" i="26"/>
  <c r="J123" i="26"/>
  <c r="I123" i="26"/>
  <c r="H123" i="26"/>
  <c r="G123" i="26"/>
  <c r="E123" i="26"/>
  <c r="C123" i="26"/>
  <c r="B123" i="26"/>
  <c r="A123" i="26"/>
  <c r="K122" i="26"/>
  <c r="J122" i="26"/>
  <c r="I122" i="26"/>
  <c r="H122" i="26"/>
  <c r="G122" i="26"/>
  <c r="E122" i="26"/>
  <c r="C122" i="26"/>
  <c r="B122" i="26"/>
  <c r="A122" i="26"/>
  <c r="E120" i="26"/>
  <c r="C120" i="26"/>
  <c r="B120" i="26"/>
  <c r="A120" i="26"/>
  <c r="E119" i="26"/>
  <c r="C119" i="26"/>
  <c r="B119" i="26"/>
  <c r="A119" i="26"/>
  <c r="E118" i="26"/>
  <c r="C118" i="26"/>
  <c r="B118" i="26"/>
  <c r="A118" i="26"/>
  <c r="E117" i="26"/>
  <c r="C117" i="26"/>
  <c r="B117" i="26"/>
  <c r="A117" i="26"/>
  <c r="E116" i="26"/>
  <c r="C116" i="26"/>
  <c r="B116" i="26"/>
  <c r="A116" i="26"/>
  <c r="E115" i="26"/>
  <c r="C115" i="26"/>
  <c r="B115" i="26"/>
  <c r="A115" i="26"/>
  <c r="E114" i="26"/>
  <c r="C114" i="26"/>
  <c r="B114" i="26"/>
  <c r="A114" i="26"/>
  <c r="E113" i="26"/>
  <c r="C113" i="26"/>
  <c r="B113" i="26"/>
  <c r="A113" i="26"/>
  <c r="E110" i="26"/>
  <c r="C110" i="26"/>
  <c r="B110" i="26"/>
  <c r="A110" i="26"/>
  <c r="E108" i="26"/>
  <c r="C108" i="26"/>
  <c r="B108" i="26"/>
  <c r="A108" i="26"/>
  <c r="E107" i="26"/>
  <c r="C107" i="26"/>
  <c r="B107" i="26"/>
  <c r="A107" i="26"/>
  <c r="E106" i="26"/>
  <c r="C106" i="26"/>
  <c r="B106" i="26"/>
  <c r="A106" i="26"/>
  <c r="E105" i="26"/>
  <c r="C105" i="26"/>
  <c r="B105" i="26"/>
  <c r="A105" i="26"/>
  <c r="E103" i="26"/>
  <c r="C103" i="26"/>
  <c r="B103" i="26"/>
  <c r="A103" i="26"/>
  <c r="E102" i="26"/>
  <c r="C102" i="26"/>
  <c r="B102" i="26"/>
  <c r="A102" i="26"/>
  <c r="E99" i="26"/>
  <c r="C99" i="26"/>
  <c r="B99" i="26"/>
  <c r="A99" i="26"/>
  <c r="E98" i="26"/>
  <c r="C98" i="26"/>
  <c r="B98" i="26"/>
  <c r="A98" i="26"/>
  <c r="E97" i="26"/>
  <c r="C97" i="26"/>
  <c r="B97" i="26"/>
  <c r="A97" i="26"/>
  <c r="E96" i="26"/>
  <c r="C96" i="26"/>
  <c r="B96" i="26"/>
  <c r="A96" i="26"/>
  <c r="E95" i="26"/>
  <c r="C95" i="26"/>
  <c r="B95" i="26"/>
  <c r="A95" i="26"/>
  <c r="E94" i="26"/>
  <c r="C94" i="26"/>
  <c r="B94" i="26"/>
  <c r="A94" i="26"/>
  <c r="E93" i="26"/>
  <c r="C93" i="26"/>
  <c r="B93" i="26"/>
  <c r="A93" i="26"/>
  <c r="E92" i="26"/>
  <c r="C92" i="26"/>
  <c r="B92" i="26"/>
  <c r="A92" i="26"/>
  <c r="E91" i="26"/>
  <c r="C91" i="26"/>
  <c r="B91" i="26"/>
  <c r="A91" i="26"/>
  <c r="E90" i="26"/>
  <c r="C90" i="26"/>
  <c r="B90" i="26"/>
  <c r="A90" i="26"/>
  <c r="E89" i="26"/>
  <c r="C89" i="26"/>
  <c r="B89" i="26"/>
  <c r="A89" i="26"/>
  <c r="E88" i="26"/>
  <c r="C88" i="26"/>
  <c r="B88" i="26"/>
  <c r="A88" i="26"/>
  <c r="E87" i="26"/>
  <c r="C87" i="26"/>
  <c r="B87" i="26"/>
  <c r="A87" i="26"/>
  <c r="E86" i="26"/>
  <c r="C86" i="26"/>
  <c r="B86" i="26"/>
  <c r="A86" i="26"/>
  <c r="E85" i="26"/>
  <c r="C85" i="26"/>
  <c r="B85" i="26"/>
  <c r="A85" i="26"/>
  <c r="E84" i="26"/>
  <c r="C84" i="26"/>
  <c r="B84" i="26"/>
  <c r="A84" i="26"/>
  <c r="E82" i="26"/>
  <c r="C82" i="26"/>
  <c r="B82" i="26"/>
  <c r="A82" i="26"/>
  <c r="E81" i="26"/>
  <c r="C81" i="26"/>
  <c r="B81" i="26"/>
  <c r="A81" i="26"/>
  <c r="E80" i="26"/>
  <c r="C80" i="26"/>
  <c r="B80" i="26"/>
  <c r="A80" i="26"/>
  <c r="E79" i="26"/>
  <c r="C79" i="26"/>
  <c r="B79" i="26"/>
  <c r="A79" i="26"/>
  <c r="E78" i="26"/>
  <c r="C78" i="26"/>
  <c r="B78" i="26"/>
  <c r="A78" i="26"/>
  <c r="E77" i="26"/>
  <c r="C77" i="26"/>
  <c r="B77" i="26"/>
  <c r="A77" i="26"/>
  <c r="E76" i="26"/>
  <c r="C76" i="26"/>
  <c r="B76" i="26"/>
  <c r="A76" i="26"/>
  <c r="E75" i="26"/>
  <c r="C75" i="26"/>
  <c r="B75" i="26"/>
  <c r="A75" i="26"/>
  <c r="K73" i="26"/>
  <c r="J73" i="26"/>
  <c r="I73" i="26"/>
  <c r="E73" i="26"/>
  <c r="C73" i="26"/>
  <c r="B73" i="26"/>
  <c r="A73" i="26"/>
  <c r="E72" i="26"/>
  <c r="C72" i="26"/>
  <c r="B72" i="26"/>
  <c r="A72" i="26"/>
  <c r="E70" i="26"/>
  <c r="C70" i="26"/>
  <c r="B70" i="26"/>
  <c r="A70" i="26"/>
  <c r="E69" i="26"/>
  <c r="C69" i="26"/>
  <c r="B69" i="26"/>
  <c r="A69" i="26"/>
  <c r="E68" i="26"/>
  <c r="C68" i="26"/>
  <c r="B68" i="26"/>
  <c r="A68" i="26"/>
  <c r="E65" i="26"/>
  <c r="C65" i="26"/>
  <c r="B65" i="26"/>
  <c r="A65" i="26"/>
  <c r="E64" i="26"/>
  <c r="C64" i="26"/>
  <c r="B64" i="26"/>
  <c r="A64" i="26"/>
  <c r="E63" i="26"/>
  <c r="C63" i="26"/>
  <c r="B63" i="26"/>
  <c r="A63" i="26"/>
  <c r="E62" i="26"/>
  <c r="C62" i="26"/>
  <c r="B62" i="26"/>
  <c r="A62" i="26"/>
  <c r="E61" i="26"/>
  <c r="C61" i="26"/>
  <c r="B61" i="26"/>
  <c r="A61" i="26"/>
  <c r="E60" i="26"/>
  <c r="C60" i="26"/>
  <c r="B60" i="26"/>
  <c r="A60" i="26"/>
  <c r="E59" i="26"/>
  <c r="C59" i="26"/>
  <c r="B59" i="26"/>
  <c r="A59" i="26"/>
  <c r="E58" i="26"/>
  <c r="C58" i="26"/>
  <c r="B58" i="26"/>
  <c r="A58" i="26"/>
  <c r="E57" i="26"/>
  <c r="C57" i="26"/>
  <c r="B57" i="26"/>
  <c r="A57" i="26"/>
  <c r="E56" i="26"/>
  <c r="C56" i="26"/>
  <c r="B56" i="26"/>
  <c r="A56" i="26"/>
  <c r="E55" i="26"/>
  <c r="C55" i="26"/>
  <c r="B55" i="26"/>
  <c r="A55" i="26"/>
  <c r="E54" i="26"/>
  <c r="C54" i="26"/>
  <c r="B54" i="26"/>
  <c r="A54" i="26"/>
  <c r="E53" i="26"/>
  <c r="C53" i="26"/>
  <c r="B53" i="26"/>
  <c r="A53" i="26"/>
  <c r="E52" i="26"/>
  <c r="C52" i="26"/>
  <c r="B52" i="26"/>
  <c r="A52" i="26"/>
  <c r="E51" i="26"/>
  <c r="C51" i="26"/>
  <c r="B51" i="26"/>
  <c r="A51" i="26"/>
  <c r="E49" i="26"/>
  <c r="C49" i="26"/>
  <c r="B49" i="26"/>
  <c r="A49" i="26"/>
  <c r="E48" i="26"/>
  <c r="C48" i="26"/>
  <c r="B48" i="26"/>
  <c r="A48" i="26"/>
  <c r="E47" i="26"/>
  <c r="C47" i="26"/>
  <c r="B47" i="26"/>
  <c r="A47" i="26"/>
  <c r="E46" i="26"/>
  <c r="C46" i="26"/>
  <c r="B46" i="26"/>
  <c r="A46" i="26"/>
  <c r="E45" i="26"/>
  <c r="C45" i="26"/>
  <c r="B45" i="26"/>
  <c r="A45" i="26"/>
  <c r="E44" i="26"/>
  <c r="C44" i="26"/>
  <c r="B44" i="26"/>
  <c r="A44" i="26"/>
  <c r="E40" i="26"/>
  <c r="C40" i="26"/>
  <c r="B40" i="26"/>
  <c r="A40" i="26"/>
  <c r="E39" i="26"/>
  <c r="C39" i="26"/>
  <c r="B39" i="26"/>
  <c r="A39" i="26"/>
  <c r="E38" i="26"/>
  <c r="C38" i="26"/>
  <c r="B38" i="26"/>
  <c r="A38" i="26"/>
  <c r="E36" i="26"/>
  <c r="C36" i="26"/>
  <c r="B36" i="26"/>
  <c r="A36" i="26"/>
  <c r="E35" i="26"/>
  <c r="C35" i="26"/>
  <c r="B35" i="26"/>
  <c r="A35" i="26"/>
  <c r="E34" i="26"/>
  <c r="C34" i="26"/>
  <c r="B34" i="26"/>
  <c r="A34" i="26"/>
  <c r="E33" i="26"/>
  <c r="C33" i="26"/>
  <c r="B33" i="26"/>
  <c r="A33" i="26"/>
  <c r="E32" i="26"/>
  <c r="C32" i="26"/>
  <c r="B32" i="26"/>
  <c r="A32" i="26"/>
  <c r="E31" i="26"/>
  <c r="C31" i="26"/>
  <c r="B31" i="26"/>
  <c r="A31" i="26"/>
  <c r="E29" i="26"/>
  <c r="C29" i="26"/>
  <c r="B29" i="26"/>
  <c r="A29" i="26"/>
  <c r="E28" i="26"/>
  <c r="C28" i="26"/>
  <c r="B28" i="26"/>
  <c r="A28" i="26"/>
  <c r="E27" i="26"/>
  <c r="C27" i="26"/>
  <c r="B27" i="26"/>
  <c r="A27" i="26"/>
  <c r="E26" i="26"/>
  <c r="C26" i="26"/>
  <c r="B26" i="26"/>
  <c r="A26" i="26"/>
  <c r="E25" i="26"/>
  <c r="C25" i="26"/>
  <c r="B25" i="26"/>
  <c r="A25" i="26"/>
  <c r="E24" i="26"/>
  <c r="C24" i="26"/>
  <c r="B24" i="26"/>
  <c r="A24" i="26"/>
  <c r="E21" i="26"/>
  <c r="C21" i="26"/>
  <c r="B21" i="26"/>
  <c r="A21" i="26"/>
  <c r="C20" i="26"/>
  <c r="B20" i="26"/>
  <c r="A20" i="26"/>
  <c r="E19" i="26"/>
  <c r="C19" i="26"/>
  <c r="B19" i="26"/>
  <c r="A19" i="26"/>
  <c r="E18" i="26"/>
  <c r="C18" i="26"/>
  <c r="B18" i="26"/>
  <c r="A18" i="26"/>
  <c r="E17" i="26"/>
  <c r="C17" i="26"/>
  <c r="B17" i="26"/>
  <c r="A17" i="26"/>
  <c r="E16" i="26"/>
  <c r="C16" i="26"/>
  <c r="B16" i="26"/>
  <c r="A16" i="26"/>
  <c r="E14" i="26"/>
  <c r="C14" i="26"/>
  <c r="B14" i="26"/>
  <c r="A14" i="26"/>
  <c r="E13" i="26"/>
  <c r="C13" i="26"/>
  <c r="B13" i="26"/>
  <c r="A13" i="26"/>
  <c r="E10" i="26"/>
  <c r="C10" i="26"/>
  <c r="B10" i="26"/>
  <c r="A10" i="26"/>
  <c r="E9" i="26"/>
  <c r="C9" i="26"/>
  <c r="B9" i="26"/>
  <c r="A9" i="26"/>
  <c r="E8" i="26"/>
  <c r="C8" i="26"/>
  <c r="B8" i="26"/>
  <c r="A8" i="26"/>
  <c r="E7" i="26"/>
  <c r="C7" i="26"/>
  <c r="B7" i="26"/>
  <c r="A7" i="26"/>
  <c r="E6" i="26"/>
  <c r="C6" i="26"/>
  <c r="B6" i="26"/>
  <c r="A6" i="26"/>
  <c r="E5" i="26"/>
  <c r="C5" i="26"/>
  <c r="B5" i="26"/>
  <c r="A5" i="26"/>
  <c r="E218" i="25"/>
  <c r="H218" i="25"/>
  <c r="I218" i="25"/>
  <c r="J218" i="25"/>
  <c r="E217" i="25"/>
  <c r="E215" i="25"/>
  <c r="E211" i="25"/>
  <c r="E212" i="25"/>
  <c r="E213" i="25"/>
  <c r="E210" i="25"/>
  <c r="E193" i="25"/>
  <c r="E194" i="25"/>
  <c r="E195" i="25"/>
  <c r="E196" i="25"/>
  <c r="E197" i="25"/>
  <c r="E198" i="25"/>
  <c r="E199" i="25"/>
  <c r="E200" i="25"/>
  <c r="E201" i="25"/>
  <c r="E202" i="25"/>
  <c r="E203" i="25"/>
  <c r="E204" i="25"/>
  <c r="E205" i="25"/>
  <c r="E206" i="25"/>
  <c r="E207" i="25"/>
  <c r="E192" i="25"/>
  <c r="E14" i="25"/>
  <c r="E16" i="25"/>
  <c r="E17" i="25"/>
  <c r="E18" i="25"/>
  <c r="E19" i="25"/>
  <c r="E21" i="25"/>
  <c r="E25" i="25"/>
  <c r="E26" i="25"/>
  <c r="E27" i="25"/>
  <c r="E28" i="25"/>
  <c r="E29" i="25"/>
  <c r="E32" i="25"/>
  <c r="E33" i="25"/>
  <c r="E34" i="25"/>
  <c r="E35" i="25"/>
  <c r="E36" i="25"/>
  <c r="E38" i="25"/>
  <c r="E39" i="25"/>
  <c r="E40" i="25"/>
  <c r="E45" i="25"/>
  <c r="E46" i="25"/>
  <c r="E47" i="25"/>
  <c r="E48" i="25"/>
  <c r="E49" i="25"/>
  <c r="E52" i="25"/>
  <c r="E53" i="25"/>
  <c r="E54" i="25"/>
  <c r="E55" i="25"/>
  <c r="E56" i="25"/>
  <c r="E57" i="25"/>
  <c r="E58" i="25"/>
  <c r="E59" i="25"/>
  <c r="E60" i="25"/>
  <c r="E61" i="25"/>
  <c r="E62" i="25"/>
  <c r="E63" i="25"/>
  <c r="E64" i="25"/>
  <c r="E65" i="25"/>
  <c r="E69" i="25"/>
  <c r="E70" i="25"/>
  <c r="E73" i="25"/>
  <c r="H73" i="25"/>
  <c r="I73" i="25"/>
  <c r="J73" i="25"/>
  <c r="E76" i="25"/>
  <c r="E77" i="25"/>
  <c r="E78" i="25"/>
  <c r="E79" i="25"/>
  <c r="E80" i="25"/>
  <c r="E81" i="25"/>
  <c r="E82" i="25"/>
  <c r="E85" i="25"/>
  <c r="E86" i="25"/>
  <c r="E87" i="25"/>
  <c r="E88" i="25"/>
  <c r="E89" i="25"/>
  <c r="E90" i="25"/>
  <c r="E91" i="25"/>
  <c r="E92" i="25"/>
  <c r="E93" i="25"/>
  <c r="E94" i="25"/>
  <c r="E95" i="25"/>
  <c r="E96" i="25"/>
  <c r="E97" i="25"/>
  <c r="E98" i="25"/>
  <c r="E99" i="25"/>
  <c r="E103" i="25"/>
  <c r="E105" i="25"/>
  <c r="E106" i="25"/>
  <c r="E107" i="25"/>
  <c r="E108" i="25"/>
  <c r="E110" i="25"/>
  <c r="E123" i="25"/>
  <c r="F123" i="25"/>
  <c r="G123" i="25"/>
  <c r="H123" i="25"/>
  <c r="I123" i="25"/>
  <c r="J123" i="25"/>
  <c r="E114" i="25"/>
  <c r="E115" i="25"/>
  <c r="E116" i="25"/>
  <c r="E117" i="25"/>
  <c r="E118" i="25"/>
  <c r="E119" i="25"/>
  <c r="E120" i="25"/>
  <c r="E126" i="25"/>
  <c r="E127" i="25"/>
  <c r="E130" i="25"/>
  <c r="E133" i="25"/>
  <c r="E134" i="25"/>
  <c r="E135" i="25"/>
  <c r="E136" i="25"/>
  <c r="E137" i="25"/>
  <c r="E138" i="25"/>
  <c r="E139" i="25"/>
  <c r="E142" i="25"/>
  <c r="E143" i="25"/>
  <c r="E144" i="25"/>
  <c r="E145" i="25"/>
  <c r="E146" i="25"/>
  <c r="E147" i="25"/>
  <c r="E148" i="25"/>
  <c r="E150" i="25"/>
  <c r="E151" i="25"/>
  <c r="E152" i="25"/>
  <c r="E153" i="25"/>
  <c r="E154" i="25"/>
  <c r="E155" i="25"/>
  <c r="E156" i="25"/>
  <c r="E158" i="25"/>
  <c r="E160" i="25"/>
  <c r="E161" i="25"/>
  <c r="E162" i="25"/>
  <c r="E163" i="25"/>
  <c r="E165" i="25"/>
  <c r="E166" i="25"/>
  <c r="E167" i="25"/>
  <c r="E168" i="25"/>
  <c r="E169" i="25"/>
  <c r="E170" i="25"/>
  <c r="E171" i="25"/>
  <c r="E174" i="25"/>
  <c r="E175" i="25"/>
  <c r="E176" i="25"/>
  <c r="E177" i="25"/>
  <c r="E178" i="25"/>
  <c r="E179" i="25"/>
  <c r="E180" i="25"/>
  <c r="E181" i="25"/>
  <c r="E182" i="25"/>
  <c r="E183" i="25"/>
  <c r="E187" i="25"/>
  <c r="E188" i="25"/>
  <c r="E189" i="25"/>
  <c r="E190" i="25"/>
  <c r="E186" i="25"/>
  <c r="E173" i="25"/>
  <c r="E141" i="25"/>
  <c r="E132" i="25"/>
  <c r="E125" i="25"/>
  <c r="J122" i="25"/>
  <c r="I122" i="25"/>
  <c r="H122" i="25"/>
  <c r="G122" i="25"/>
  <c r="F122" i="25"/>
  <c r="E122" i="25"/>
  <c r="E113" i="25"/>
  <c r="E102" i="25"/>
  <c r="E84" i="25"/>
  <c r="E75" i="25"/>
  <c r="E72" i="25"/>
  <c r="E68" i="25"/>
  <c r="E51" i="25"/>
  <c r="E44" i="25"/>
  <c r="E31" i="25"/>
  <c r="E24" i="25"/>
  <c r="E13" i="25"/>
  <c r="E6" i="25"/>
  <c r="E7" i="25"/>
  <c r="E8" i="25"/>
  <c r="E9" i="25"/>
  <c r="E10" i="25"/>
  <c r="E5" i="25"/>
  <c r="A45" i="25"/>
  <c r="B45" i="25"/>
  <c r="C45" i="25"/>
  <c r="A46" i="25"/>
  <c r="B46" i="25"/>
  <c r="C46" i="25"/>
  <c r="A47" i="25"/>
  <c r="B47" i="25"/>
  <c r="C47" i="25"/>
  <c r="A48" i="25"/>
  <c r="B48" i="25"/>
  <c r="C48" i="25"/>
  <c r="A49" i="25"/>
  <c r="B49" i="25"/>
  <c r="C49" i="25"/>
  <c r="A52" i="25"/>
  <c r="B52" i="25"/>
  <c r="C52" i="25"/>
  <c r="A53" i="25"/>
  <c r="B53" i="25"/>
  <c r="C53" i="25"/>
  <c r="A54" i="25"/>
  <c r="B54" i="25"/>
  <c r="C54" i="25"/>
  <c r="A55" i="25"/>
  <c r="B55" i="25"/>
  <c r="C55" i="25"/>
  <c r="A56" i="25"/>
  <c r="B56" i="25"/>
  <c r="C56" i="25"/>
  <c r="A57" i="25"/>
  <c r="B57" i="25"/>
  <c r="C57" i="25"/>
  <c r="A58" i="25"/>
  <c r="B58" i="25"/>
  <c r="C58" i="25"/>
  <c r="A59" i="25"/>
  <c r="B59" i="25"/>
  <c r="C59" i="25"/>
  <c r="A60" i="25"/>
  <c r="B60" i="25"/>
  <c r="C60" i="25"/>
  <c r="A61" i="25"/>
  <c r="B61" i="25"/>
  <c r="C61" i="25"/>
  <c r="A62" i="25"/>
  <c r="B62" i="25"/>
  <c r="C62" i="25"/>
  <c r="A63" i="25"/>
  <c r="B63" i="25"/>
  <c r="C63" i="25"/>
  <c r="A64" i="25"/>
  <c r="B64" i="25"/>
  <c r="C64" i="25"/>
  <c r="A65" i="25"/>
  <c r="B65" i="25"/>
  <c r="C65" i="25"/>
  <c r="A69" i="25"/>
  <c r="B69" i="25"/>
  <c r="C69" i="25"/>
  <c r="A70" i="25"/>
  <c r="B70" i="25"/>
  <c r="C70" i="25"/>
  <c r="A73" i="25"/>
  <c r="B73" i="25"/>
  <c r="C73" i="25"/>
  <c r="A76" i="25"/>
  <c r="B76" i="25"/>
  <c r="C76" i="25"/>
  <c r="A77" i="25"/>
  <c r="B77" i="25"/>
  <c r="C77" i="25"/>
  <c r="A78" i="25"/>
  <c r="B78" i="25"/>
  <c r="C78" i="25"/>
  <c r="A79" i="25"/>
  <c r="B79" i="25"/>
  <c r="C79" i="25"/>
  <c r="A80" i="25"/>
  <c r="B80" i="25"/>
  <c r="C80" i="25"/>
  <c r="A81" i="25"/>
  <c r="B81" i="25"/>
  <c r="C81" i="25"/>
  <c r="A82" i="25"/>
  <c r="B82" i="25"/>
  <c r="C82" i="25"/>
  <c r="A85" i="25"/>
  <c r="B85" i="25"/>
  <c r="C85" i="25"/>
  <c r="A86" i="25"/>
  <c r="B86" i="25"/>
  <c r="C86" i="25"/>
  <c r="A87" i="25"/>
  <c r="B87" i="25"/>
  <c r="C87" i="25"/>
  <c r="A88" i="25"/>
  <c r="B88" i="25"/>
  <c r="C88" i="25"/>
  <c r="A89" i="25"/>
  <c r="B89" i="25"/>
  <c r="C89" i="25"/>
  <c r="A90" i="25"/>
  <c r="B90" i="25"/>
  <c r="C90" i="25"/>
  <c r="A91" i="25"/>
  <c r="B91" i="25"/>
  <c r="C91" i="25"/>
  <c r="A92" i="25"/>
  <c r="B92" i="25"/>
  <c r="C92" i="25"/>
  <c r="A93" i="25"/>
  <c r="B93" i="25"/>
  <c r="C93" i="25"/>
  <c r="A94" i="25"/>
  <c r="B94" i="25"/>
  <c r="C94" i="25"/>
  <c r="A95" i="25"/>
  <c r="B95" i="25"/>
  <c r="C95" i="25"/>
  <c r="A96" i="25"/>
  <c r="B96" i="25"/>
  <c r="C96" i="25"/>
  <c r="A97" i="25"/>
  <c r="B97" i="25"/>
  <c r="C97" i="25"/>
  <c r="A98" i="25"/>
  <c r="B98" i="25"/>
  <c r="C98" i="25"/>
  <c r="A99" i="25"/>
  <c r="B99" i="25"/>
  <c r="C99" i="25"/>
  <c r="A103" i="25"/>
  <c r="B103" i="25"/>
  <c r="C103" i="25"/>
  <c r="A105" i="25"/>
  <c r="B105" i="25"/>
  <c r="C105" i="25"/>
  <c r="A106" i="25"/>
  <c r="B106" i="25"/>
  <c r="C106" i="25"/>
  <c r="A107" i="25"/>
  <c r="B107" i="25"/>
  <c r="C107" i="25"/>
  <c r="A108" i="25"/>
  <c r="B108" i="25"/>
  <c r="C108" i="25"/>
  <c r="A110" i="25"/>
  <c r="B110" i="25"/>
  <c r="C110" i="25"/>
  <c r="A114" i="25"/>
  <c r="B114" i="25"/>
  <c r="C114" i="25"/>
  <c r="A115" i="25"/>
  <c r="B115" i="25"/>
  <c r="C115" i="25"/>
  <c r="A116" i="25"/>
  <c r="B116" i="25"/>
  <c r="C116" i="25"/>
  <c r="A117" i="25"/>
  <c r="B117" i="25"/>
  <c r="C117" i="25"/>
  <c r="A118" i="25"/>
  <c r="B118" i="25"/>
  <c r="C118" i="25"/>
  <c r="A119" i="25"/>
  <c r="B119" i="25"/>
  <c r="C119" i="25"/>
  <c r="A120" i="25"/>
  <c r="B120" i="25"/>
  <c r="C120" i="25"/>
  <c r="A123" i="25"/>
  <c r="B123" i="25"/>
  <c r="C123" i="25"/>
  <c r="A126" i="25"/>
  <c r="B126" i="25"/>
  <c r="C126" i="25"/>
  <c r="A127" i="25"/>
  <c r="B127" i="25"/>
  <c r="C127" i="25"/>
  <c r="A130" i="25"/>
  <c r="B130" i="25"/>
  <c r="C130" i="25"/>
  <c r="A133" i="25"/>
  <c r="B133" i="25"/>
  <c r="C133" i="25"/>
  <c r="A134" i="25"/>
  <c r="B134" i="25"/>
  <c r="C134" i="25"/>
  <c r="A135" i="25"/>
  <c r="B135" i="25"/>
  <c r="C135" i="25"/>
  <c r="A136" i="25"/>
  <c r="B136" i="25"/>
  <c r="C136" i="25"/>
  <c r="A137" i="25"/>
  <c r="B137" i="25"/>
  <c r="C137" i="25"/>
  <c r="A138" i="25"/>
  <c r="B138" i="25"/>
  <c r="C138" i="25"/>
  <c r="A139" i="25"/>
  <c r="B139" i="25"/>
  <c r="C139" i="25"/>
  <c r="A142" i="25"/>
  <c r="B142" i="25"/>
  <c r="C142" i="25"/>
  <c r="A143" i="25"/>
  <c r="B143" i="25"/>
  <c r="C143" i="25"/>
  <c r="A144" i="25"/>
  <c r="B144" i="25"/>
  <c r="C144" i="25"/>
  <c r="A145" i="25"/>
  <c r="B145" i="25"/>
  <c r="C145" i="25"/>
  <c r="A146" i="25"/>
  <c r="B146" i="25"/>
  <c r="C146" i="25"/>
  <c r="A147" i="25"/>
  <c r="B147" i="25"/>
  <c r="C147" i="25"/>
  <c r="A148" i="25"/>
  <c r="B148" i="25"/>
  <c r="C148" i="25"/>
  <c r="A150" i="25"/>
  <c r="B150" i="25"/>
  <c r="C150" i="25"/>
  <c r="A151" i="25"/>
  <c r="B151" i="25"/>
  <c r="C151" i="25"/>
  <c r="A152" i="25"/>
  <c r="B152" i="25"/>
  <c r="C152" i="25"/>
  <c r="A153" i="25"/>
  <c r="B153" i="25"/>
  <c r="C153" i="25"/>
  <c r="A154" i="25"/>
  <c r="B154" i="25"/>
  <c r="C154" i="25"/>
  <c r="A155" i="25"/>
  <c r="B155" i="25"/>
  <c r="C155" i="25"/>
  <c r="A156" i="25"/>
  <c r="B156" i="25"/>
  <c r="C156" i="25"/>
  <c r="A158" i="25"/>
  <c r="B158" i="25"/>
  <c r="C158" i="25"/>
  <c r="A160" i="25"/>
  <c r="B160" i="25"/>
  <c r="C160" i="25"/>
  <c r="A161" i="25"/>
  <c r="B161" i="25"/>
  <c r="C161" i="25"/>
  <c r="A162" i="25"/>
  <c r="B162" i="25"/>
  <c r="C162" i="25"/>
  <c r="A163" i="25"/>
  <c r="B163" i="25"/>
  <c r="C163" i="25"/>
  <c r="A165" i="25"/>
  <c r="B165" i="25"/>
  <c r="C165" i="25"/>
  <c r="A166" i="25"/>
  <c r="B166" i="25"/>
  <c r="C166" i="25"/>
  <c r="A167" i="25"/>
  <c r="B167" i="25"/>
  <c r="C167" i="25"/>
  <c r="A168" i="25"/>
  <c r="B168" i="25"/>
  <c r="C168" i="25"/>
  <c r="A169" i="25"/>
  <c r="B169" i="25"/>
  <c r="C169" i="25"/>
  <c r="A170" i="25"/>
  <c r="B170" i="25"/>
  <c r="C170" i="25"/>
  <c r="A171" i="25"/>
  <c r="B171" i="25"/>
  <c r="C171" i="25"/>
  <c r="A174" i="25"/>
  <c r="B174" i="25"/>
  <c r="C174" i="25"/>
  <c r="A175" i="25"/>
  <c r="B175" i="25"/>
  <c r="C175" i="25"/>
  <c r="A176" i="25"/>
  <c r="B176" i="25"/>
  <c r="C176" i="25"/>
  <c r="A177" i="25"/>
  <c r="B177" i="25"/>
  <c r="C177" i="25"/>
  <c r="A178" i="25"/>
  <c r="B178" i="25"/>
  <c r="C178" i="25"/>
  <c r="A179" i="25"/>
  <c r="B179" i="25"/>
  <c r="C179" i="25"/>
  <c r="A180" i="25"/>
  <c r="B180" i="25"/>
  <c r="C180" i="25"/>
  <c r="A181" i="25"/>
  <c r="B181" i="25"/>
  <c r="C181" i="25"/>
  <c r="A182" i="25"/>
  <c r="B182" i="25"/>
  <c r="C182" i="25"/>
  <c r="A183" i="25"/>
  <c r="B183" i="25"/>
  <c r="C183" i="25"/>
  <c r="A187" i="25"/>
  <c r="B187" i="25"/>
  <c r="C187" i="25"/>
  <c r="A188" i="25"/>
  <c r="B188" i="25"/>
  <c r="C188" i="25"/>
  <c r="A189" i="25"/>
  <c r="B189" i="25"/>
  <c r="C189" i="25"/>
  <c r="A190" i="25"/>
  <c r="B190" i="25"/>
  <c r="C190" i="25"/>
  <c r="A193" i="25"/>
  <c r="B193" i="25"/>
  <c r="C193" i="25"/>
  <c r="A194" i="25"/>
  <c r="B194" i="25"/>
  <c r="C194" i="25"/>
  <c r="A195" i="25"/>
  <c r="B195" i="25"/>
  <c r="C195" i="25"/>
  <c r="A196" i="25"/>
  <c r="B196" i="25"/>
  <c r="C196" i="25"/>
  <c r="A197" i="25"/>
  <c r="B197" i="25"/>
  <c r="C197" i="25"/>
  <c r="A198" i="25"/>
  <c r="B198" i="25"/>
  <c r="C198" i="25"/>
  <c r="A199" i="25"/>
  <c r="B199" i="25"/>
  <c r="C199" i="25"/>
  <c r="A200" i="25"/>
  <c r="B200" i="25"/>
  <c r="C200" i="25"/>
  <c r="A201" i="25"/>
  <c r="B201" i="25"/>
  <c r="C201" i="25"/>
  <c r="A202" i="25"/>
  <c r="B202" i="25"/>
  <c r="C202" i="25"/>
  <c r="A203" i="25"/>
  <c r="B203" i="25"/>
  <c r="C203" i="25"/>
  <c r="A204" i="25"/>
  <c r="B204" i="25"/>
  <c r="C204" i="25"/>
  <c r="A205" i="25"/>
  <c r="B205" i="25"/>
  <c r="C205" i="25"/>
  <c r="A206" i="25"/>
  <c r="B206" i="25"/>
  <c r="C206" i="25"/>
  <c r="A207" i="25"/>
  <c r="B207" i="25"/>
  <c r="C207" i="25"/>
  <c r="A211" i="25"/>
  <c r="B211" i="25"/>
  <c r="C211" i="25"/>
  <c r="A212" i="25"/>
  <c r="B212" i="25"/>
  <c r="C212" i="25"/>
  <c r="A213" i="25"/>
  <c r="B213" i="25"/>
  <c r="C213" i="25"/>
  <c r="A215" i="25"/>
  <c r="B215" i="25"/>
  <c r="C215" i="25"/>
  <c r="A218" i="25"/>
  <c r="B218" i="25"/>
  <c r="C218" i="25"/>
  <c r="C217" i="25"/>
  <c r="B217" i="25"/>
  <c r="A217" i="25"/>
  <c r="C210" i="25"/>
  <c r="B210" i="25"/>
  <c r="A210" i="25"/>
  <c r="C192" i="25"/>
  <c r="B192" i="25"/>
  <c r="A192" i="25"/>
  <c r="C186" i="25"/>
  <c r="B186" i="25"/>
  <c r="A186" i="25"/>
  <c r="C173" i="25"/>
  <c r="B173" i="25"/>
  <c r="A173" i="25"/>
  <c r="C141" i="25"/>
  <c r="B141" i="25"/>
  <c r="A141" i="25"/>
  <c r="C132" i="25"/>
  <c r="B132" i="25"/>
  <c r="A132" i="25"/>
  <c r="C125" i="25"/>
  <c r="B125" i="25"/>
  <c r="A125" i="25"/>
  <c r="C122" i="25"/>
  <c r="B122" i="25"/>
  <c r="A122" i="25"/>
  <c r="C113" i="25"/>
  <c r="B113" i="25"/>
  <c r="A113" i="25"/>
  <c r="C102" i="25"/>
  <c r="B102" i="25"/>
  <c r="A102" i="25"/>
  <c r="C84" i="25"/>
  <c r="B84" i="25"/>
  <c r="A84" i="25"/>
  <c r="C75" i="25"/>
  <c r="B75" i="25"/>
  <c r="A75" i="25"/>
  <c r="C72" i="25"/>
  <c r="B72" i="25"/>
  <c r="A72" i="25"/>
  <c r="C68" i="25"/>
  <c r="B68" i="25"/>
  <c r="A68" i="25"/>
  <c r="C51" i="25"/>
  <c r="B51" i="25"/>
  <c r="A51" i="25"/>
  <c r="C44" i="25"/>
  <c r="B44" i="25"/>
  <c r="A44" i="25"/>
  <c r="A32" i="25"/>
  <c r="B32" i="25"/>
  <c r="C32" i="25"/>
  <c r="A33" i="25"/>
  <c r="B33" i="25"/>
  <c r="C33" i="25"/>
  <c r="A34" i="25"/>
  <c r="B34" i="25"/>
  <c r="C34" i="25"/>
  <c r="A35" i="25"/>
  <c r="B35" i="25"/>
  <c r="C35" i="25"/>
  <c r="A36" i="25"/>
  <c r="B36" i="25"/>
  <c r="C36" i="25"/>
  <c r="A38" i="25"/>
  <c r="B38" i="25"/>
  <c r="C38" i="25"/>
  <c r="A39" i="25"/>
  <c r="B39" i="25"/>
  <c r="C39" i="25"/>
  <c r="A40" i="25"/>
  <c r="B40" i="25"/>
  <c r="C40" i="25"/>
  <c r="C31" i="25"/>
  <c r="B31" i="25"/>
  <c r="A31" i="25"/>
  <c r="A25" i="25"/>
  <c r="B25" i="25"/>
  <c r="C25" i="25"/>
  <c r="A26" i="25"/>
  <c r="B26" i="25"/>
  <c r="C26" i="25"/>
  <c r="A27" i="25"/>
  <c r="B27" i="25"/>
  <c r="C27" i="25"/>
  <c r="A28" i="25"/>
  <c r="B28" i="25"/>
  <c r="C28" i="25"/>
  <c r="A29" i="25"/>
  <c r="B29" i="25"/>
  <c r="C29" i="25"/>
  <c r="C24" i="25"/>
  <c r="B24" i="25"/>
  <c r="A24" i="25"/>
  <c r="A14" i="25"/>
  <c r="B14" i="25"/>
  <c r="C14" i="25"/>
  <c r="A16" i="25"/>
  <c r="B16" i="25"/>
  <c r="C16" i="25"/>
  <c r="A17" i="25"/>
  <c r="B17" i="25"/>
  <c r="C17" i="25"/>
  <c r="A18" i="25"/>
  <c r="B18" i="25"/>
  <c r="C18" i="25"/>
  <c r="A19" i="25"/>
  <c r="B19" i="25"/>
  <c r="C19" i="25"/>
  <c r="A20" i="25"/>
  <c r="B20" i="25"/>
  <c r="C20" i="25"/>
  <c r="A21" i="25"/>
  <c r="B21" i="25"/>
  <c r="C21" i="25"/>
  <c r="C13" i="25"/>
  <c r="B13" i="25"/>
  <c r="A13" i="25"/>
  <c r="A6" i="25"/>
  <c r="B6" i="25"/>
  <c r="C6" i="25"/>
  <c r="A7" i="25"/>
  <c r="B7" i="25"/>
  <c r="C7" i="25"/>
  <c r="A8" i="25"/>
  <c r="B8" i="25"/>
  <c r="C8" i="25"/>
  <c r="A9" i="25"/>
  <c r="B9" i="25"/>
  <c r="C9" i="25"/>
  <c r="A10" i="25"/>
  <c r="B10" i="25"/>
  <c r="C10" i="25"/>
  <c r="B5" i="25"/>
  <c r="C5" i="25"/>
  <c r="A5" i="25"/>
  <c r="M13" i="24" l="1"/>
  <c r="F13" i="24" s="1"/>
  <c r="J13" i="24" l="1"/>
  <c r="I13" i="24"/>
  <c r="H13" i="24"/>
  <c r="G173" i="26" l="1"/>
  <c r="F173" i="25"/>
  <c r="H173" i="26"/>
  <c r="G173" i="25"/>
  <c r="G174" i="26"/>
  <c r="F174" i="25"/>
  <c r="H174" i="26"/>
  <c r="G174" i="25"/>
  <c r="G175" i="26"/>
  <c r="F175" i="25"/>
  <c r="H175" i="26"/>
  <c r="G175" i="25"/>
  <c r="G176" i="26"/>
  <c r="F176" i="25"/>
  <c r="H176" i="26"/>
  <c r="G176" i="25"/>
  <c r="G177" i="26"/>
  <c r="F177" i="25"/>
  <c r="H177" i="26"/>
  <c r="G177" i="25"/>
  <c r="G178" i="26"/>
  <c r="F178" i="25"/>
  <c r="H178" i="26"/>
  <c r="G178" i="25"/>
  <c r="G179" i="26"/>
  <c r="F179" i="25"/>
  <c r="H179" i="26"/>
  <c r="G179" i="25"/>
  <c r="G180" i="26"/>
  <c r="F180" i="25"/>
  <c r="H180" i="26"/>
  <c r="G180" i="25"/>
  <c r="G181" i="26"/>
  <c r="F181" i="25"/>
  <c r="H181" i="26"/>
  <c r="G181" i="25"/>
  <c r="G182" i="26"/>
  <c r="F182" i="25"/>
  <c r="H182" i="26"/>
  <c r="G182" i="25"/>
  <c r="G186" i="26"/>
  <c r="F186" i="25"/>
  <c r="H186" i="26"/>
  <c r="G186" i="25"/>
  <c r="G189" i="26"/>
  <c r="F189" i="25"/>
  <c r="H189" i="26"/>
  <c r="G189" i="25"/>
  <c r="G108" i="26"/>
  <c r="F108" i="25"/>
  <c r="H108" i="26"/>
  <c r="G108" i="25"/>
  <c r="G113" i="26"/>
  <c r="F113" i="25"/>
  <c r="H113" i="26"/>
  <c r="G113" i="25"/>
  <c r="H120" i="26"/>
  <c r="G120" i="25"/>
  <c r="G120" i="26"/>
  <c r="F120" i="25"/>
  <c r="H119" i="26"/>
  <c r="G119" i="25"/>
  <c r="G119" i="26"/>
  <c r="F119" i="25"/>
  <c r="H118" i="26"/>
  <c r="G118" i="25"/>
  <c r="G118" i="26"/>
  <c r="F118" i="25"/>
  <c r="H117" i="26"/>
  <c r="G117" i="25"/>
  <c r="G117" i="26"/>
  <c r="F117" i="25"/>
  <c r="H116" i="26"/>
  <c r="G116" i="25"/>
  <c r="G116" i="26"/>
  <c r="F116" i="25"/>
  <c r="H115" i="26"/>
  <c r="G115" i="25"/>
  <c r="G115" i="26"/>
  <c r="F115" i="25"/>
  <c r="H114" i="26"/>
  <c r="G114" i="25"/>
  <c r="G114" i="26"/>
  <c r="F114" i="25"/>
  <c r="G125" i="26"/>
  <c r="F125" i="26" s="1"/>
  <c r="F125" i="25"/>
  <c r="H125" i="26"/>
  <c r="G125" i="25"/>
  <c r="G126" i="26"/>
  <c r="F126" i="26" s="1"/>
  <c r="F126" i="25"/>
  <c r="H126" i="26"/>
  <c r="G126" i="25"/>
  <c r="G7" i="26" l="1"/>
  <c r="F7" i="26" s="1"/>
  <c r="F7" i="25"/>
  <c r="G6" i="26"/>
  <c r="F6" i="26" s="1"/>
  <c r="F6" i="25"/>
  <c r="H7" i="26"/>
  <c r="G7" i="25"/>
  <c r="H6" i="26"/>
  <c r="G6" i="25"/>
  <c r="G13" i="26"/>
  <c r="F13" i="26" s="1"/>
  <c r="F13" i="25"/>
  <c r="H13" i="26"/>
  <c r="G13" i="25"/>
  <c r="G73" i="26"/>
  <c r="F73" i="25"/>
  <c r="H73" i="26"/>
  <c r="G73" i="25"/>
  <c r="H86" i="26"/>
  <c r="G86" i="25"/>
  <c r="G86" i="26"/>
  <c r="F86" i="26" s="1"/>
  <c r="F86" i="25"/>
  <c r="H85" i="26"/>
  <c r="G85" i="25"/>
  <c r="G85" i="26"/>
  <c r="F85" i="26" s="1"/>
  <c r="F85" i="25"/>
  <c r="G154" i="26"/>
  <c r="F154" i="25"/>
  <c r="H154" i="26"/>
  <c r="G154" i="25"/>
  <c r="M193" i="24"/>
  <c r="M194" i="24"/>
  <c r="M195" i="24"/>
  <c r="M196" i="24"/>
  <c r="M197" i="24"/>
  <c r="M198" i="24"/>
  <c r="M199" i="24"/>
  <c r="M200" i="24"/>
  <c r="M201" i="24"/>
  <c r="M202" i="24"/>
  <c r="M203" i="24"/>
  <c r="M204" i="24"/>
  <c r="M205" i="24"/>
  <c r="M206" i="24"/>
  <c r="M207" i="24"/>
  <c r="U20" i="24" l="1"/>
  <c r="W20" i="24" s="1"/>
  <c r="O20" i="24" s="1"/>
  <c r="G20" i="24" s="1"/>
  <c r="H20" i="26" l="1"/>
  <c r="G20" i="25"/>
  <c r="M20" i="24"/>
  <c r="F20" i="24" s="1"/>
  <c r="H20" i="24"/>
  <c r="I20" i="24"/>
  <c r="J20" i="24"/>
  <c r="K20" i="26" l="1"/>
  <c r="J20" i="25"/>
  <c r="J20" i="26"/>
  <c r="I20" i="25"/>
  <c r="I20" i="26"/>
  <c r="H20" i="25"/>
  <c r="G20" i="26"/>
  <c r="F20" i="26" s="1"/>
  <c r="F20" i="25"/>
  <c r="U218" i="24"/>
  <c r="W218" i="24" s="1"/>
  <c r="O218" i="24" s="1"/>
  <c r="G218" i="24" s="1"/>
  <c r="U217" i="24"/>
  <c r="W217" i="24" s="1"/>
  <c r="O217" i="24" s="1"/>
  <c r="G217" i="24" s="1"/>
  <c r="U216" i="24"/>
  <c r="W216" i="24" s="1"/>
  <c r="U215" i="24"/>
  <c r="W215" i="24" s="1"/>
  <c r="U214" i="24"/>
  <c r="W214" i="24" s="1"/>
  <c r="U213" i="24"/>
  <c r="W213" i="24" s="1"/>
  <c r="O213" i="24" s="1"/>
  <c r="G213" i="24" s="1"/>
  <c r="U212" i="24"/>
  <c r="W212" i="24" s="1"/>
  <c r="O212" i="24" s="1"/>
  <c r="G212" i="24" s="1"/>
  <c r="U211" i="24"/>
  <c r="W211" i="24" s="1"/>
  <c r="O211" i="24" s="1"/>
  <c r="G211" i="24" s="1"/>
  <c r="U210" i="24"/>
  <c r="W210" i="24" s="1"/>
  <c r="O210" i="24" s="1"/>
  <c r="G210" i="24" s="1"/>
  <c r="U209" i="24"/>
  <c r="W209" i="24" s="1"/>
  <c r="U207" i="24"/>
  <c r="W207" i="24" s="1"/>
  <c r="U206" i="24"/>
  <c r="W206" i="24" s="1"/>
  <c r="U205" i="24"/>
  <c r="W205" i="24" s="1"/>
  <c r="U204" i="24"/>
  <c r="W204" i="24" s="1"/>
  <c r="U203" i="24"/>
  <c r="W203" i="24" s="1"/>
  <c r="U202" i="24"/>
  <c r="W202" i="24" s="1"/>
  <c r="U201" i="24"/>
  <c r="W201" i="24" s="1"/>
  <c r="U200" i="24"/>
  <c r="W200" i="24" s="1"/>
  <c r="U199" i="24"/>
  <c r="W199" i="24" s="1"/>
  <c r="U198" i="24"/>
  <c r="W198" i="24" s="1"/>
  <c r="U197" i="24"/>
  <c r="W197" i="24" s="1"/>
  <c r="U196" i="24"/>
  <c r="W196" i="24" s="1"/>
  <c r="U195" i="24"/>
  <c r="W195" i="24" s="1"/>
  <c r="U194" i="24"/>
  <c r="W194" i="24" s="1"/>
  <c r="U193" i="24"/>
  <c r="W193" i="24" s="1"/>
  <c r="U192" i="24"/>
  <c r="W192" i="24" s="1"/>
  <c r="U191" i="24"/>
  <c r="W191" i="24" s="1"/>
  <c r="U190" i="24"/>
  <c r="W190" i="24" s="1"/>
  <c r="O190" i="24" s="1"/>
  <c r="G190" i="24" s="1"/>
  <c r="J190" i="24"/>
  <c r="I190" i="24"/>
  <c r="H190" i="24"/>
  <c r="U189" i="24"/>
  <c r="W189" i="24" s="1"/>
  <c r="O189" i="24" s="1"/>
  <c r="J189" i="24"/>
  <c r="I25" i="23" s="1"/>
  <c r="I189" i="24"/>
  <c r="H25" i="23" s="1"/>
  <c r="H189" i="24"/>
  <c r="G25" i="23" s="1"/>
  <c r="U188" i="24"/>
  <c r="W188" i="24" s="1"/>
  <c r="O188" i="24" s="1"/>
  <c r="G188" i="24" s="1"/>
  <c r="J188" i="24"/>
  <c r="I188" i="24"/>
  <c r="H188" i="24"/>
  <c r="U187" i="24"/>
  <c r="W187" i="24" s="1"/>
  <c r="O187" i="24" s="1"/>
  <c r="U186" i="24"/>
  <c r="W186" i="24" s="1"/>
  <c r="O186" i="24" s="1"/>
  <c r="J186" i="24"/>
  <c r="I186" i="24"/>
  <c r="H186" i="24"/>
  <c r="U185" i="24"/>
  <c r="W185" i="24" s="1"/>
  <c r="U183" i="24"/>
  <c r="W183" i="24" s="1"/>
  <c r="U182" i="24"/>
  <c r="W182" i="24" s="1"/>
  <c r="J182" i="24"/>
  <c r="I182" i="24"/>
  <c r="H182" i="24"/>
  <c r="U181" i="24"/>
  <c r="W181" i="24" s="1"/>
  <c r="J181" i="24"/>
  <c r="I181" i="24"/>
  <c r="H181" i="24"/>
  <c r="U180" i="24"/>
  <c r="W180" i="24" s="1"/>
  <c r="J180" i="24"/>
  <c r="I180" i="24"/>
  <c r="H180" i="24"/>
  <c r="U179" i="24"/>
  <c r="W179" i="24" s="1"/>
  <c r="J179" i="24"/>
  <c r="I179" i="24"/>
  <c r="H179" i="24"/>
  <c r="U178" i="24"/>
  <c r="W178" i="24" s="1"/>
  <c r="J178" i="24"/>
  <c r="I178" i="24"/>
  <c r="H178" i="24"/>
  <c r="U177" i="24"/>
  <c r="W177" i="24" s="1"/>
  <c r="J177" i="24"/>
  <c r="I177" i="24"/>
  <c r="H177" i="24"/>
  <c r="U176" i="24"/>
  <c r="W176" i="24" s="1"/>
  <c r="J176" i="24"/>
  <c r="I176" i="24"/>
  <c r="H176" i="24"/>
  <c r="U175" i="24"/>
  <c r="W175" i="24" s="1"/>
  <c r="J175" i="24"/>
  <c r="I175" i="24"/>
  <c r="H175" i="24"/>
  <c r="U174" i="24"/>
  <c r="W174" i="24" s="1"/>
  <c r="J174" i="24"/>
  <c r="I174" i="24"/>
  <c r="H174" i="24"/>
  <c r="U173" i="24"/>
  <c r="W173" i="24" s="1"/>
  <c r="J173" i="24"/>
  <c r="I173" i="24"/>
  <c r="H173" i="24"/>
  <c r="U172" i="24"/>
  <c r="W172" i="24" s="1"/>
  <c r="U171" i="24"/>
  <c r="W171" i="24" s="1"/>
  <c r="U170" i="24"/>
  <c r="W170" i="24" s="1"/>
  <c r="U169" i="24"/>
  <c r="W169" i="24" s="1"/>
  <c r="U168" i="24"/>
  <c r="W168" i="24" s="1"/>
  <c r="U167" i="24"/>
  <c r="W167" i="24" s="1"/>
  <c r="U166" i="24"/>
  <c r="W166" i="24" s="1"/>
  <c r="U165" i="24"/>
  <c r="W165" i="24" s="1"/>
  <c r="U163" i="24"/>
  <c r="W163" i="24" s="1"/>
  <c r="O163" i="24" s="1"/>
  <c r="G163" i="24" s="1"/>
  <c r="U162" i="24"/>
  <c r="W162" i="24" s="1"/>
  <c r="U161" i="24"/>
  <c r="W161" i="24" s="1"/>
  <c r="O161" i="24" s="1"/>
  <c r="G161" i="24" s="1"/>
  <c r="U160" i="24"/>
  <c r="W160" i="24" s="1"/>
  <c r="J160" i="24"/>
  <c r="I160" i="24"/>
  <c r="E19" i="23"/>
  <c r="I20" i="23"/>
  <c r="U158" i="24"/>
  <c r="W158" i="24" s="1"/>
  <c r="U157" i="24"/>
  <c r="W157" i="24" s="1"/>
  <c r="U156" i="24"/>
  <c r="W156" i="24" s="1"/>
  <c r="U155" i="24"/>
  <c r="W155" i="24" s="1"/>
  <c r="O155" i="24" s="1"/>
  <c r="G155" i="24" s="1"/>
  <c r="U154" i="24"/>
  <c r="W154" i="24" s="1"/>
  <c r="J154" i="24"/>
  <c r="I154" i="24"/>
  <c r="H154" i="24"/>
  <c r="U153" i="24"/>
  <c r="W153" i="24" s="1"/>
  <c r="O153" i="24" s="1"/>
  <c r="U152" i="24"/>
  <c r="W152" i="24" s="1"/>
  <c r="U151" i="24"/>
  <c r="W151" i="24" s="1"/>
  <c r="U150" i="24"/>
  <c r="W150" i="24" s="1"/>
  <c r="U148" i="24"/>
  <c r="W148" i="24" s="1"/>
  <c r="U147" i="24"/>
  <c r="W147" i="24" s="1"/>
  <c r="U146" i="24"/>
  <c r="W146" i="24" s="1"/>
  <c r="O146" i="24" s="1"/>
  <c r="U145" i="24"/>
  <c r="W145" i="24" s="1"/>
  <c r="U144" i="24"/>
  <c r="W144" i="24" s="1"/>
  <c r="U143" i="24"/>
  <c r="W143" i="24" s="1"/>
  <c r="U142" i="24"/>
  <c r="W142" i="24" s="1"/>
  <c r="U141" i="24"/>
  <c r="W141" i="24" s="1"/>
  <c r="U140" i="24"/>
  <c r="W140" i="24" s="1"/>
  <c r="U139" i="24"/>
  <c r="W139" i="24" s="1"/>
  <c r="O139" i="24" s="1"/>
  <c r="G139" i="24" s="1"/>
  <c r="U138" i="24"/>
  <c r="W138" i="24" s="1"/>
  <c r="O138" i="24" s="1"/>
  <c r="G138" i="24" s="1"/>
  <c r="U137" i="24"/>
  <c r="W137" i="24" s="1"/>
  <c r="O137" i="24" s="1"/>
  <c r="G137" i="24" s="1"/>
  <c r="U136" i="24"/>
  <c r="W136" i="24" s="1"/>
  <c r="O136" i="24" s="1"/>
  <c r="G136" i="24" s="1"/>
  <c r="U135" i="24"/>
  <c r="W135" i="24" s="1"/>
  <c r="O135" i="24" s="1"/>
  <c r="G135" i="24" s="1"/>
  <c r="U134" i="24"/>
  <c r="W134" i="24" s="1"/>
  <c r="O134" i="24" s="1"/>
  <c r="G134" i="24" s="1"/>
  <c r="U133" i="24"/>
  <c r="W133" i="24" s="1"/>
  <c r="O133" i="24" s="1"/>
  <c r="G133" i="24" s="1"/>
  <c r="U131" i="24"/>
  <c r="W131" i="24" s="1"/>
  <c r="U130" i="24"/>
  <c r="W130" i="24" s="1"/>
  <c r="U127" i="24"/>
  <c r="W127" i="24" s="1"/>
  <c r="U126" i="24"/>
  <c r="W126" i="24" s="1"/>
  <c r="J126" i="24"/>
  <c r="I126" i="24"/>
  <c r="H126" i="24"/>
  <c r="U125" i="24"/>
  <c r="W125" i="24" s="1"/>
  <c r="J125" i="24"/>
  <c r="I125" i="24"/>
  <c r="D22" i="28" s="1"/>
  <c r="E22" i="28" s="1"/>
  <c r="H125" i="24"/>
  <c r="U124" i="24"/>
  <c r="W124" i="24" s="1"/>
  <c r="U123" i="24"/>
  <c r="W123" i="24" s="1"/>
  <c r="U122" i="24"/>
  <c r="W122" i="24" s="1"/>
  <c r="U121" i="24"/>
  <c r="W121" i="24" s="1"/>
  <c r="U120" i="24"/>
  <c r="W120" i="24" s="1"/>
  <c r="J120" i="24"/>
  <c r="I120" i="24"/>
  <c r="H120" i="24"/>
  <c r="U119" i="24"/>
  <c r="W119" i="24" s="1"/>
  <c r="O119" i="24" s="1"/>
  <c r="J119" i="24"/>
  <c r="I119" i="24"/>
  <c r="H119" i="24"/>
  <c r="U118" i="24"/>
  <c r="W118" i="24" s="1"/>
  <c r="O118" i="24" s="1"/>
  <c r="J118" i="24"/>
  <c r="I118" i="24"/>
  <c r="H118" i="24"/>
  <c r="U117" i="24"/>
  <c r="W117" i="24" s="1"/>
  <c r="O117" i="24" s="1"/>
  <c r="J117" i="24"/>
  <c r="I117" i="24"/>
  <c r="H117" i="24"/>
  <c r="U116" i="24"/>
  <c r="W116" i="24" s="1"/>
  <c r="J116" i="24"/>
  <c r="I116" i="24"/>
  <c r="H116" i="24"/>
  <c r="U115" i="24"/>
  <c r="W115" i="24" s="1"/>
  <c r="O115" i="24" s="1"/>
  <c r="J115" i="24"/>
  <c r="I115" i="24"/>
  <c r="H115" i="24"/>
  <c r="U114" i="24"/>
  <c r="W114" i="24" s="1"/>
  <c r="O114" i="24" s="1"/>
  <c r="J114" i="24"/>
  <c r="I114" i="24"/>
  <c r="H114" i="24"/>
  <c r="U113" i="24"/>
  <c r="W113" i="24" s="1"/>
  <c r="O113" i="24" s="1"/>
  <c r="J113" i="24"/>
  <c r="I113" i="24"/>
  <c r="H113" i="24"/>
  <c r="U112" i="24"/>
  <c r="W112" i="24" s="1"/>
  <c r="U111" i="24"/>
  <c r="W111" i="24" s="1"/>
  <c r="U108" i="24"/>
  <c r="W108" i="24" s="1"/>
  <c r="J108" i="24"/>
  <c r="I108" i="24"/>
  <c r="H108" i="24"/>
  <c r="U107" i="24"/>
  <c r="W107" i="24" s="1"/>
  <c r="J107" i="24"/>
  <c r="I107" i="24"/>
  <c r="H107" i="24"/>
  <c r="U110" i="24"/>
  <c r="W110" i="24" s="1"/>
  <c r="U106" i="24"/>
  <c r="W106" i="24" s="1"/>
  <c r="U105" i="24"/>
  <c r="W105" i="24" s="1"/>
  <c r="H105" i="24"/>
  <c r="U103" i="24"/>
  <c r="W103" i="24" s="1"/>
  <c r="J103" i="24"/>
  <c r="U102" i="24"/>
  <c r="W102" i="24" s="1"/>
  <c r="U101" i="24"/>
  <c r="W101" i="24" s="1"/>
  <c r="U99" i="24"/>
  <c r="W99" i="24" s="1"/>
  <c r="O99" i="24" s="1"/>
  <c r="G99" i="24" s="1"/>
  <c r="U98" i="24"/>
  <c r="W98" i="24" s="1"/>
  <c r="U97" i="24"/>
  <c r="W97" i="24" s="1"/>
  <c r="U96" i="24"/>
  <c r="W96" i="24" s="1"/>
  <c r="U95" i="24"/>
  <c r="W95" i="24" s="1"/>
  <c r="U94" i="24"/>
  <c r="W94" i="24" s="1"/>
  <c r="U93" i="24"/>
  <c r="W93" i="24" s="1"/>
  <c r="O93" i="24" s="1"/>
  <c r="G93" i="24" s="1"/>
  <c r="U92" i="24"/>
  <c r="W92" i="24" s="1"/>
  <c r="U91" i="24"/>
  <c r="W91" i="24" s="1"/>
  <c r="U90" i="24"/>
  <c r="W90" i="24" s="1"/>
  <c r="U89" i="24"/>
  <c r="W89" i="24" s="1"/>
  <c r="U88" i="24"/>
  <c r="W88" i="24" s="1"/>
  <c r="U87" i="24"/>
  <c r="W87" i="24" s="1"/>
  <c r="O87" i="24" s="1"/>
  <c r="G87" i="24" s="1"/>
  <c r="U86" i="24"/>
  <c r="W86" i="24" s="1"/>
  <c r="J86" i="24"/>
  <c r="I86" i="24"/>
  <c r="H86" i="24"/>
  <c r="U85" i="24"/>
  <c r="W85" i="24" s="1"/>
  <c r="O85" i="24" s="1"/>
  <c r="J85" i="24"/>
  <c r="I85" i="24"/>
  <c r="H85" i="24"/>
  <c r="U84" i="24"/>
  <c r="W84" i="24" s="1"/>
  <c r="U83" i="24"/>
  <c r="W83" i="24" s="1"/>
  <c r="U82" i="24"/>
  <c r="W82" i="24" s="1"/>
  <c r="U81" i="24"/>
  <c r="W81" i="24" s="1"/>
  <c r="O81" i="24" s="1"/>
  <c r="U80" i="24"/>
  <c r="W80" i="24" s="1"/>
  <c r="O80" i="24" s="1"/>
  <c r="U79" i="24"/>
  <c r="W79" i="24" s="1"/>
  <c r="O79" i="24" s="1"/>
  <c r="U78" i="24"/>
  <c r="W78" i="24" s="1"/>
  <c r="U77" i="24"/>
  <c r="W77" i="24" s="1"/>
  <c r="O77" i="24" s="1"/>
  <c r="G77" i="24" s="1"/>
  <c r="U76" i="24"/>
  <c r="W76" i="24" s="1"/>
  <c r="U75" i="24"/>
  <c r="W75" i="24" s="1"/>
  <c r="O75" i="24" s="1"/>
  <c r="G75" i="24" s="1"/>
  <c r="U74" i="24"/>
  <c r="W74" i="24" s="1"/>
  <c r="U73" i="24"/>
  <c r="W73" i="24" s="1"/>
  <c r="U72" i="24"/>
  <c r="W72" i="24" s="1"/>
  <c r="U71" i="24"/>
  <c r="W71" i="24" s="1"/>
  <c r="U70" i="24"/>
  <c r="W70" i="24" s="1"/>
  <c r="O70" i="24" s="1"/>
  <c r="G70" i="24" s="1"/>
  <c r="U69" i="24"/>
  <c r="W69" i="24" s="1"/>
  <c r="O69" i="24" s="1"/>
  <c r="G69" i="24" s="1"/>
  <c r="U68" i="24"/>
  <c r="W68" i="24" s="1"/>
  <c r="O68" i="24" s="1"/>
  <c r="G68" i="24" s="1"/>
  <c r="U67" i="24"/>
  <c r="W67" i="24" s="1"/>
  <c r="U65" i="24"/>
  <c r="W65" i="24" s="1"/>
  <c r="U64" i="24"/>
  <c r="W64" i="24" s="1"/>
  <c r="O64" i="24" s="1"/>
  <c r="G64" i="24" s="1"/>
  <c r="U63" i="24"/>
  <c r="W63" i="24" s="1"/>
  <c r="U62" i="24"/>
  <c r="W62" i="24" s="1"/>
  <c r="O62" i="24" s="1"/>
  <c r="G62" i="24" s="1"/>
  <c r="U61" i="24"/>
  <c r="W61" i="24" s="1"/>
  <c r="U60" i="24"/>
  <c r="W60" i="24" s="1"/>
  <c r="U59" i="24"/>
  <c r="W59" i="24" s="1"/>
  <c r="O59" i="24" s="1"/>
  <c r="G59" i="24" s="1"/>
  <c r="U58" i="24"/>
  <c r="W58" i="24" s="1"/>
  <c r="O58" i="24" s="1"/>
  <c r="G58" i="24" s="1"/>
  <c r="U57" i="24"/>
  <c r="W57" i="24" s="1"/>
  <c r="U56" i="24"/>
  <c r="W56" i="24" s="1"/>
  <c r="O56" i="24" s="1"/>
  <c r="G56" i="24" s="1"/>
  <c r="I56" i="24" s="1"/>
  <c r="U55" i="24"/>
  <c r="W55" i="24" s="1"/>
  <c r="O55" i="24" s="1"/>
  <c r="G55" i="24" s="1"/>
  <c r="U54" i="24"/>
  <c r="W54" i="24" s="1"/>
  <c r="U53" i="24"/>
  <c r="W53" i="24" s="1"/>
  <c r="U52" i="24"/>
  <c r="W52" i="24" s="1"/>
  <c r="U51" i="24"/>
  <c r="W51" i="24" s="1"/>
  <c r="O51" i="24" s="1"/>
  <c r="G51" i="24" s="1"/>
  <c r="U50" i="24"/>
  <c r="W50" i="24" s="1"/>
  <c r="U49" i="24"/>
  <c r="W49" i="24" s="1"/>
  <c r="U48" i="24"/>
  <c r="W48" i="24" s="1"/>
  <c r="U47" i="24"/>
  <c r="W47" i="24" s="1"/>
  <c r="U46" i="24"/>
  <c r="W46" i="24" s="1"/>
  <c r="U45" i="24"/>
  <c r="W45" i="24" s="1"/>
  <c r="U44" i="24"/>
  <c r="W44" i="24" s="1"/>
  <c r="U43" i="24"/>
  <c r="W43" i="24" s="1"/>
  <c r="U40" i="24"/>
  <c r="W40" i="24" s="1"/>
  <c r="O40" i="24" s="1"/>
  <c r="G40" i="24" s="1"/>
  <c r="U39" i="24"/>
  <c r="W39" i="24" s="1"/>
  <c r="U38" i="24"/>
  <c r="W38" i="24" s="1"/>
  <c r="O38" i="24" s="1"/>
  <c r="G38" i="24" s="1"/>
  <c r="W36" i="24"/>
  <c r="U35" i="24"/>
  <c r="W35" i="24" s="1"/>
  <c r="W34" i="24"/>
  <c r="O34" i="24" s="1"/>
  <c r="G34" i="24" s="1"/>
  <c r="U33" i="24"/>
  <c r="W33" i="24" s="1"/>
  <c r="O33" i="24" s="1"/>
  <c r="G33" i="24" s="1"/>
  <c r="U32" i="24"/>
  <c r="W32" i="24" s="1"/>
  <c r="O32" i="24" s="1"/>
  <c r="G32" i="24" s="1"/>
  <c r="U31" i="24"/>
  <c r="W31" i="24" s="1"/>
  <c r="O31" i="24" s="1"/>
  <c r="G31" i="24" s="1"/>
  <c r="U30" i="24"/>
  <c r="W30" i="24" s="1"/>
  <c r="U29" i="24"/>
  <c r="W29" i="24" s="1"/>
  <c r="U28" i="24"/>
  <c r="W28" i="24" s="1"/>
  <c r="U27" i="24"/>
  <c r="W27" i="24" s="1"/>
  <c r="U26" i="24"/>
  <c r="W26" i="24" s="1"/>
  <c r="U25" i="24"/>
  <c r="W25" i="24" s="1"/>
  <c r="U24" i="24"/>
  <c r="W24" i="24" s="1"/>
  <c r="U22" i="24"/>
  <c r="W22" i="24" s="1"/>
  <c r="U14" i="24"/>
  <c r="W14" i="24" s="1"/>
  <c r="U16" i="24"/>
  <c r="W16" i="24" s="1"/>
  <c r="O16" i="24" s="1"/>
  <c r="G16" i="24" s="1"/>
  <c r="U19" i="24"/>
  <c r="W19" i="24" s="1"/>
  <c r="U18" i="24"/>
  <c r="W18" i="24" s="1"/>
  <c r="U17" i="24"/>
  <c r="W17" i="24" s="1"/>
  <c r="O17" i="24" s="1"/>
  <c r="G17" i="24" s="1"/>
  <c r="U21" i="24"/>
  <c r="W21" i="24" s="1"/>
  <c r="O21" i="24" s="1"/>
  <c r="G21" i="24" s="1"/>
  <c r="U12" i="24"/>
  <c r="W12" i="24" s="1"/>
  <c r="U10" i="24"/>
  <c r="W10" i="24" s="1"/>
  <c r="U9" i="24"/>
  <c r="W9" i="24" s="1"/>
  <c r="O9" i="24" s="1"/>
  <c r="G9" i="24" s="1"/>
  <c r="U8" i="24"/>
  <c r="W8" i="24" s="1"/>
  <c r="U7" i="24"/>
  <c r="W7" i="24" s="1"/>
  <c r="J7" i="24"/>
  <c r="I7" i="24"/>
  <c r="H7" i="24"/>
  <c r="U6" i="24"/>
  <c r="W6" i="24" s="1"/>
  <c r="J6" i="24"/>
  <c r="I6" i="24"/>
  <c r="H6" i="24"/>
  <c r="U5" i="24"/>
  <c r="W5" i="24" s="1"/>
  <c r="U4" i="24"/>
  <c r="W4" i="24" s="1"/>
  <c r="S173" i="22"/>
  <c r="T4" i="23"/>
  <c r="V4" i="23" s="1"/>
  <c r="T3" i="23"/>
  <c r="V3" i="23" s="1"/>
  <c r="R89" i="22"/>
  <c r="R91" i="22"/>
  <c r="R90" i="22"/>
  <c r="N6" i="22"/>
  <c r="N7" i="22"/>
  <c r="N8" i="22"/>
  <c r="N9" i="22"/>
  <c r="N10" i="22"/>
  <c r="N11" i="22"/>
  <c r="N18" i="22"/>
  <c r="N25" i="22"/>
  <c r="N35" i="22"/>
  <c r="N42" i="22"/>
  <c r="N59" i="22"/>
  <c r="N63" i="22"/>
  <c r="N66" i="22"/>
  <c r="N75" i="22"/>
  <c r="N92" i="22"/>
  <c r="N93" i="22"/>
  <c r="N94" i="22"/>
  <c r="N95" i="22"/>
  <c r="N96" i="22"/>
  <c r="N97" i="22"/>
  <c r="N98" i="22"/>
  <c r="N99" i="22"/>
  <c r="N100" i="22"/>
  <c r="N101" i="22"/>
  <c r="N102" i="22"/>
  <c r="N103" i="22"/>
  <c r="N104" i="22"/>
  <c r="N105" i="22"/>
  <c r="N106" i="22"/>
  <c r="N107" i="22"/>
  <c r="N108" i="22"/>
  <c r="N109" i="22"/>
  <c r="N110" i="22"/>
  <c r="N111" i="22"/>
  <c r="N112" i="22"/>
  <c r="N113" i="22"/>
  <c r="N114" i="22"/>
  <c r="N115" i="22"/>
  <c r="N116" i="22"/>
  <c r="N117" i="22"/>
  <c r="N122" i="22"/>
  <c r="N131" i="22"/>
  <c r="N144" i="22"/>
  <c r="N147" i="22"/>
  <c r="N169" i="22"/>
  <c r="N180" i="22"/>
  <c r="N181" i="22"/>
  <c r="N192" i="22"/>
  <c r="N193" i="22"/>
  <c r="N194" i="22"/>
  <c r="N195" i="22"/>
  <c r="N196" i="22"/>
  <c r="N197" i="22"/>
  <c r="N198" i="22"/>
  <c r="N199" i="22"/>
  <c r="N200" i="22"/>
  <c r="N201" i="22"/>
  <c r="N202" i="22"/>
  <c r="N203" i="22"/>
  <c r="N204" i="22"/>
  <c r="N205" i="22"/>
  <c r="N206" i="22"/>
  <c r="N207" i="22"/>
  <c r="N208" i="22"/>
  <c r="N209" i="22"/>
  <c r="N215" i="22"/>
  <c r="N221" i="22"/>
  <c r="N223" i="22"/>
  <c r="N5" i="22"/>
  <c r="K8" i="22"/>
  <c r="K11" i="22"/>
  <c r="K18" i="22"/>
  <c r="K25" i="22"/>
  <c r="K35" i="22"/>
  <c r="K42" i="22"/>
  <c r="K59" i="22"/>
  <c r="K63" i="22"/>
  <c r="K66" i="22"/>
  <c r="K75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105" i="22"/>
  <c r="K106" i="22"/>
  <c r="K107" i="22"/>
  <c r="K108" i="22"/>
  <c r="K109" i="22"/>
  <c r="K110" i="22"/>
  <c r="K111" i="22"/>
  <c r="K112" i="22"/>
  <c r="K113" i="22"/>
  <c r="K114" i="22"/>
  <c r="K115" i="22"/>
  <c r="K116" i="22"/>
  <c r="K117" i="22"/>
  <c r="K122" i="22"/>
  <c r="K131" i="22"/>
  <c r="K144" i="22"/>
  <c r="K147" i="22"/>
  <c r="K169" i="22"/>
  <c r="K180" i="22"/>
  <c r="K181" i="22"/>
  <c r="K192" i="22"/>
  <c r="K193" i="22"/>
  <c r="K194" i="22"/>
  <c r="K195" i="22"/>
  <c r="K196" i="22"/>
  <c r="K197" i="22"/>
  <c r="K198" i="22"/>
  <c r="K199" i="22"/>
  <c r="K200" i="22"/>
  <c r="K201" i="22"/>
  <c r="K202" i="22"/>
  <c r="K203" i="22"/>
  <c r="K204" i="22"/>
  <c r="K205" i="22"/>
  <c r="K206" i="22"/>
  <c r="K207" i="22"/>
  <c r="K208" i="22"/>
  <c r="K209" i="22"/>
  <c r="K215" i="22"/>
  <c r="K221" i="22"/>
  <c r="K223" i="22"/>
  <c r="M8" i="22"/>
  <c r="M11" i="22"/>
  <c r="M18" i="22"/>
  <c r="M25" i="22"/>
  <c r="M35" i="22"/>
  <c r="M42" i="22"/>
  <c r="M59" i="22"/>
  <c r="M63" i="22"/>
  <c r="M66" i="22"/>
  <c r="M75" i="22"/>
  <c r="M92" i="22"/>
  <c r="M93" i="22"/>
  <c r="M94" i="22"/>
  <c r="M95" i="22"/>
  <c r="M96" i="22"/>
  <c r="M97" i="22"/>
  <c r="M98" i="22"/>
  <c r="M99" i="22"/>
  <c r="M100" i="22"/>
  <c r="M101" i="22"/>
  <c r="M102" i="22"/>
  <c r="M103" i="22"/>
  <c r="M104" i="22"/>
  <c r="M105" i="22"/>
  <c r="M106" i="22"/>
  <c r="M107" i="22"/>
  <c r="M108" i="22"/>
  <c r="M109" i="22"/>
  <c r="M110" i="22"/>
  <c r="M111" i="22"/>
  <c r="M112" i="22"/>
  <c r="M113" i="22"/>
  <c r="M114" i="22"/>
  <c r="M115" i="22"/>
  <c r="M116" i="22"/>
  <c r="M117" i="22"/>
  <c r="M122" i="22"/>
  <c r="M131" i="22"/>
  <c r="M144" i="22"/>
  <c r="M147" i="22"/>
  <c r="M169" i="22"/>
  <c r="M180" i="22"/>
  <c r="M181" i="22"/>
  <c r="M192" i="22"/>
  <c r="M193" i="22"/>
  <c r="M194" i="22"/>
  <c r="M195" i="22"/>
  <c r="M196" i="22"/>
  <c r="M197" i="22"/>
  <c r="M198" i="22"/>
  <c r="M199" i="22"/>
  <c r="M200" i="22"/>
  <c r="M201" i="22"/>
  <c r="M202" i="22"/>
  <c r="M203" i="22"/>
  <c r="M204" i="22"/>
  <c r="M205" i="22"/>
  <c r="M206" i="22"/>
  <c r="M207" i="22"/>
  <c r="M208" i="22"/>
  <c r="M209" i="22"/>
  <c r="M215" i="22"/>
  <c r="M221" i="22"/>
  <c r="M223" i="22"/>
  <c r="U11" i="22"/>
  <c r="U18" i="22"/>
  <c r="U25" i="22"/>
  <c r="U35" i="22"/>
  <c r="U42" i="22"/>
  <c r="U59" i="22"/>
  <c r="U63" i="22"/>
  <c r="U66" i="22"/>
  <c r="U75" i="22"/>
  <c r="U92" i="22"/>
  <c r="U93" i="22"/>
  <c r="U94" i="22"/>
  <c r="U95" i="22"/>
  <c r="U96" i="22"/>
  <c r="U97" i="22"/>
  <c r="U98" i="22"/>
  <c r="U99" i="22"/>
  <c r="U100" i="22"/>
  <c r="U101" i="22"/>
  <c r="U102" i="22"/>
  <c r="U103" i="22"/>
  <c r="U104" i="22"/>
  <c r="U105" i="22"/>
  <c r="U106" i="22"/>
  <c r="U107" i="22"/>
  <c r="U108" i="22"/>
  <c r="U109" i="22"/>
  <c r="U110" i="22"/>
  <c r="U111" i="22"/>
  <c r="U112" i="22"/>
  <c r="U113" i="22"/>
  <c r="U114" i="22"/>
  <c r="U115" i="22"/>
  <c r="U116" i="22"/>
  <c r="U117" i="22"/>
  <c r="U122" i="22"/>
  <c r="U131" i="22"/>
  <c r="U144" i="22"/>
  <c r="U147" i="22"/>
  <c r="U169" i="22"/>
  <c r="U180" i="22"/>
  <c r="U181" i="22"/>
  <c r="U192" i="22"/>
  <c r="U193" i="22"/>
  <c r="U194" i="22"/>
  <c r="U195" i="22"/>
  <c r="U196" i="22"/>
  <c r="U197" i="22"/>
  <c r="U198" i="22"/>
  <c r="U199" i="22"/>
  <c r="U200" i="22"/>
  <c r="U201" i="22"/>
  <c r="U202" i="22"/>
  <c r="U203" i="22"/>
  <c r="U204" i="22"/>
  <c r="U205" i="22"/>
  <c r="U206" i="22"/>
  <c r="U207" i="22"/>
  <c r="U208" i="22"/>
  <c r="U209" i="22"/>
  <c r="U215" i="22"/>
  <c r="U221" i="22"/>
  <c r="U223" i="22"/>
  <c r="S5" i="22"/>
  <c r="U5" i="22" s="1"/>
  <c r="S6" i="22"/>
  <c r="U6" i="22" s="1"/>
  <c r="S7" i="22"/>
  <c r="U7" i="22" s="1"/>
  <c r="S8" i="22"/>
  <c r="U8" i="22" s="1"/>
  <c r="S9" i="22"/>
  <c r="U9" i="22" s="1"/>
  <c r="S10" i="22"/>
  <c r="U10" i="22" s="1"/>
  <c r="S11" i="22"/>
  <c r="S12" i="22"/>
  <c r="U12" i="22" s="1"/>
  <c r="S13" i="22"/>
  <c r="U13" i="22" s="1"/>
  <c r="S14" i="22"/>
  <c r="U14" i="22" s="1"/>
  <c r="S15" i="22"/>
  <c r="U15" i="22" s="1"/>
  <c r="S16" i="22"/>
  <c r="U16" i="22" s="1"/>
  <c r="S17" i="22"/>
  <c r="U17" i="22" s="1"/>
  <c r="S18" i="22"/>
  <c r="S19" i="22"/>
  <c r="U19" i="22" s="1"/>
  <c r="S20" i="22"/>
  <c r="U20" i="22" s="1"/>
  <c r="S21" i="22"/>
  <c r="U21" i="22" s="1"/>
  <c r="S22" i="22"/>
  <c r="U22" i="22" s="1"/>
  <c r="S23" i="22"/>
  <c r="U23" i="22" s="1"/>
  <c r="S24" i="22"/>
  <c r="U24" i="22" s="1"/>
  <c r="S25" i="22"/>
  <c r="S26" i="22"/>
  <c r="U26" i="22" s="1"/>
  <c r="S27" i="22"/>
  <c r="U27" i="22" s="1"/>
  <c r="S28" i="22"/>
  <c r="U28" i="22" s="1"/>
  <c r="S29" i="22"/>
  <c r="U29" i="22" s="1"/>
  <c r="S30" i="22"/>
  <c r="U30" i="22" s="1"/>
  <c r="S31" i="22"/>
  <c r="U31" i="22" s="1"/>
  <c r="S32" i="22"/>
  <c r="U32" i="22" s="1"/>
  <c r="S33" i="22"/>
  <c r="U33" i="22" s="1"/>
  <c r="S34" i="22"/>
  <c r="U34" i="22" s="1"/>
  <c r="S35" i="22"/>
  <c r="S36" i="22"/>
  <c r="U36" i="22" s="1"/>
  <c r="S37" i="22"/>
  <c r="U37" i="22" s="1"/>
  <c r="S38" i="22"/>
  <c r="U38" i="22" s="1"/>
  <c r="S39" i="22"/>
  <c r="U39" i="22" s="1"/>
  <c r="S40" i="22"/>
  <c r="U40" i="22" s="1"/>
  <c r="S41" i="22"/>
  <c r="U41" i="22" s="1"/>
  <c r="S42" i="22"/>
  <c r="S43" i="22"/>
  <c r="U43" i="22" s="1"/>
  <c r="S44" i="22"/>
  <c r="U44" i="22" s="1"/>
  <c r="S45" i="22"/>
  <c r="U45" i="22" s="1"/>
  <c r="S46" i="22"/>
  <c r="U46" i="22" s="1"/>
  <c r="S47" i="22"/>
  <c r="U47" i="22" s="1"/>
  <c r="S48" i="22"/>
  <c r="U48" i="22" s="1"/>
  <c r="S49" i="22"/>
  <c r="U49" i="22" s="1"/>
  <c r="S50" i="22"/>
  <c r="U50" i="22" s="1"/>
  <c r="S51" i="22"/>
  <c r="U51" i="22" s="1"/>
  <c r="S52" i="22"/>
  <c r="U52" i="22" s="1"/>
  <c r="S53" i="22"/>
  <c r="U53" i="22" s="1"/>
  <c r="S54" i="22"/>
  <c r="U54" i="22" s="1"/>
  <c r="S55" i="22"/>
  <c r="U55" i="22" s="1"/>
  <c r="S56" i="22"/>
  <c r="U56" i="22" s="1"/>
  <c r="S57" i="22"/>
  <c r="U57" i="22" s="1"/>
  <c r="S58" i="22"/>
  <c r="U58" i="22" s="1"/>
  <c r="S59" i="22"/>
  <c r="S60" i="22"/>
  <c r="U60" i="22" s="1"/>
  <c r="S61" i="22"/>
  <c r="U61" i="22" s="1"/>
  <c r="S62" i="22"/>
  <c r="U62" i="22" s="1"/>
  <c r="S63" i="22"/>
  <c r="S64" i="22"/>
  <c r="U64" i="22" s="1"/>
  <c r="S65" i="22"/>
  <c r="U65" i="22" s="1"/>
  <c r="S66" i="22"/>
  <c r="S67" i="22"/>
  <c r="U67" i="22" s="1"/>
  <c r="S68" i="22"/>
  <c r="U68" i="22" s="1"/>
  <c r="S69" i="22"/>
  <c r="U69" i="22" s="1"/>
  <c r="S70" i="22"/>
  <c r="U70" i="22" s="1"/>
  <c r="S71" i="22"/>
  <c r="U71" i="22" s="1"/>
  <c r="S72" i="22"/>
  <c r="U72" i="22" s="1"/>
  <c r="S73" i="22"/>
  <c r="U73" i="22" s="1"/>
  <c r="S74" i="22"/>
  <c r="U74" i="22" s="1"/>
  <c r="S75" i="22"/>
  <c r="S76" i="22"/>
  <c r="U76" i="22" s="1"/>
  <c r="S77" i="22"/>
  <c r="U77" i="22" s="1"/>
  <c r="S78" i="22"/>
  <c r="U78" i="22" s="1"/>
  <c r="S79" i="22"/>
  <c r="U79" i="22" s="1"/>
  <c r="S80" i="22"/>
  <c r="U80" i="22" s="1"/>
  <c r="S81" i="22"/>
  <c r="U81" i="22" s="1"/>
  <c r="S82" i="22"/>
  <c r="U82" i="22" s="1"/>
  <c r="S83" i="22"/>
  <c r="U83" i="22" s="1"/>
  <c r="S84" i="22"/>
  <c r="U84" i="22" s="1"/>
  <c r="S85" i="22"/>
  <c r="U85" i="22" s="1"/>
  <c r="S86" i="22"/>
  <c r="U86" i="22" s="1"/>
  <c r="S87" i="22"/>
  <c r="U87" i="22" s="1"/>
  <c r="S88" i="22"/>
  <c r="U88" i="22" s="1"/>
  <c r="S89" i="22"/>
  <c r="U89" i="22" s="1"/>
  <c r="S90" i="22"/>
  <c r="U90" i="22" s="1"/>
  <c r="S91" i="22"/>
  <c r="U91" i="22" s="1"/>
  <c r="S92" i="22"/>
  <c r="S93" i="22"/>
  <c r="S94" i="22"/>
  <c r="S95" i="22"/>
  <c r="S96" i="22"/>
  <c r="S97" i="22"/>
  <c r="S98" i="22"/>
  <c r="S99" i="22"/>
  <c r="S100" i="22"/>
  <c r="S101" i="22"/>
  <c r="S102" i="22"/>
  <c r="S103" i="22"/>
  <c r="S104" i="22"/>
  <c r="S105" i="22"/>
  <c r="S106" i="22"/>
  <c r="S107" i="22"/>
  <c r="S108" i="22"/>
  <c r="S109" i="22"/>
  <c r="S110" i="22"/>
  <c r="S111" i="22"/>
  <c r="S112" i="22"/>
  <c r="S113" i="22"/>
  <c r="S114" i="22"/>
  <c r="S115" i="22"/>
  <c r="S116" i="22"/>
  <c r="S117" i="22"/>
  <c r="S118" i="22"/>
  <c r="U118" i="22" s="1"/>
  <c r="S119" i="22"/>
  <c r="U119" i="22" s="1"/>
  <c r="S120" i="22"/>
  <c r="U120" i="22" s="1"/>
  <c r="S121" i="22"/>
  <c r="U121" i="22" s="1"/>
  <c r="S122" i="22"/>
  <c r="S123" i="22"/>
  <c r="U123" i="22" s="1"/>
  <c r="S124" i="22"/>
  <c r="U124" i="22" s="1"/>
  <c r="S125" i="22"/>
  <c r="U125" i="22" s="1"/>
  <c r="S126" i="22"/>
  <c r="U126" i="22" s="1"/>
  <c r="S127" i="22"/>
  <c r="U127" i="22" s="1"/>
  <c r="S128" i="22"/>
  <c r="U128" i="22" s="1"/>
  <c r="S129" i="22"/>
  <c r="U129" i="22" s="1"/>
  <c r="S130" i="22"/>
  <c r="U130" i="22" s="1"/>
  <c r="S131" i="22"/>
  <c r="S132" i="22"/>
  <c r="U132" i="22" s="1"/>
  <c r="S133" i="22"/>
  <c r="U133" i="22" s="1"/>
  <c r="S134" i="22"/>
  <c r="U134" i="22" s="1"/>
  <c r="S135" i="22"/>
  <c r="U135" i="22" s="1"/>
  <c r="S136" i="22"/>
  <c r="U136" i="22" s="1"/>
  <c r="S137" i="22"/>
  <c r="U137" i="22" s="1"/>
  <c r="S138" i="22"/>
  <c r="U138" i="22" s="1"/>
  <c r="S139" i="22"/>
  <c r="U139" i="22" s="1"/>
  <c r="S140" i="22"/>
  <c r="U140" i="22" s="1"/>
  <c r="S141" i="22"/>
  <c r="U141" i="22" s="1"/>
  <c r="S142" i="22"/>
  <c r="U142" i="22" s="1"/>
  <c r="S143" i="22"/>
  <c r="U143" i="22" s="1"/>
  <c r="S144" i="22"/>
  <c r="S145" i="22"/>
  <c r="U145" i="22" s="1"/>
  <c r="S146" i="22"/>
  <c r="U146" i="22" s="1"/>
  <c r="S147" i="22"/>
  <c r="S148" i="22"/>
  <c r="U148" i="22" s="1"/>
  <c r="S149" i="22"/>
  <c r="U149" i="22" s="1"/>
  <c r="S150" i="22"/>
  <c r="U150" i="22" s="1"/>
  <c r="S151" i="22"/>
  <c r="U151" i="22" s="1"/>
  <c r="S152" i="22"/>
  <c r="U152" i="22" s="1"/>
  <c r="S153" i="22"/>
  <c r="U153" i="22" s="1"/>
  <c r="S154" i="22"/>
  <c r="U154" i="22" s="1"/>
  <c r="S155" i="22"/>
  <c r="U155" i="22" s="1"/>
  <c r="S156" i="22"/>
  <c r="U156" i="22" s="1"/>
  <c r="S157" i="22"/>
  <c r="U157" i="22" s="1"/>
  <c r="S158" i="22"/>
  <c r="U158" i="22" s="1"/>
  <c r="S159" i="22"/>
  <c r="U159" i="22" s="1"/>
  <c r="S160" i="22"/>
  <c r="U160" i="22" s="1"/>
  <c r="S161" i="22"/>
  <c r="U161" i="22" s="1"/>
  <c r="S162" i="22"/>
  <c r="U162" i="22" s="1"/>
  <c r="S163" i="22"/>
  <c r="U163" i="22" s="1"/>
  <c r="S164" i="22"/>
  <c r="U164" i="22" s="1"/>
  <c r="S165" i="22"/>
  <c r="U165" i="22" s="1"/>
  <c r="S166" i="22"/>
  <c r="U166" i="22" s="1"/>
  <c r="S167" i="22"/>
  <c r="U167" i="22" s="1"/>
  <c r="S168" i="22"/>
  <c r="U168" i="22" s="1"/>
  <c r="S169" i="22"/>
  <c r="S170" i="22"/>
  <c r="U170" i="22" s="1"/>
  <c r="S171" i="22"/>
  <c r="U171" i="22" s="1"/>
  <c r="S172" i="22"/>
  <c r="U172" i="22" s="1"/>
  <c r="U173" i="22"/>
  <c r="S174" i="22"/>
  <c r="U174" i="22" s="1"/>
  <c r="S175" i="22"/>
  <c r="U175" i="22" s="1"/>
  <c r="S176" i="22"/>
  <c r="U176" i="22" s="1"/>
  <c r="S177" i="22"/>
  <c r="U177" i="22" s="1"/>
  <c r="S178" i="22"/>
  <c r="U178" i="22" s="1"/>
  <c r="S179" i="22"/>
  <c r="U179" i="22" s="1"/>
  <c r="S180" i="22"/>
  <c r="S181" i="22"/>
  <c r="S182" i="22"/>
  <c r="U182" i="22" s="1"/>
  <c r="S183" i="22"/>
  <c r="U183" i="22" s="1"/>
  <c r="S184" i="22"/>
  <c r="U184" i="22" s="1"/>
  <c r="S185" i="22"/>
  <c r="U185" i="22" s="1"/>
  <c r="S186" i="22"/>
  <c r="U186" i="22" s="1"/>
  <c r="S187" i="22"/>
  <c r="U187" i="22" s="1"/>
  <c r="S188" i="22"/>
  <c r="U188" i="22" s="1"/>
  <c r="S189" i="22"/>
  <c r="U189" i="22" s="1"/>
  <c r="S190" i="22"/>
  <c r="U190" i="22" s="1"/>
  <c r="S191" i="22"/>
  <c r="U191" i="22" s="1"/>
  <c r="S192" i="22"/>
  <c r="S193" i="22"/>
  <c r="S194" i="22"/>
  <c r="S195" i="22"/>
  <c r="S196" i="22"/>
  <c r="S197" i="22"/>
  <c r="S198" i="22"/>
  <c r="S199" i="22"/>
  <c r="S200" i="22"/>
  <c r="S201" i="22"/>
  <c r="S202" i="22"/>
  <c r="S203" i="22"/>
  <c r="S204" i="22"/>
  <c r="S205" i="22"/>
  <c r="S206" i="22"/>
  <c r="S207" i="22"/>
  <c r="S208" i="22"/>
  <c r="S209" i="22"/>
  <c r="S210" i="22"/>
  <c r="U210" i="22" s="1"/>
  <c r="S211" i="22"/>
  <c r="U211" i="22" s="1"/>
  <c r="S212" i="22"/>
  <c r="U212" i="22" s="1"/>
  <c r="S213" i="22"/>
  <c r="U213" i="22" s="1"/>
  <c r="S214" i="22"/>
  <c r="U214" i="22" s="1"/>
  <c r="S215" i="22"/>
  <c r="S216" i="22"/>
  <c r="U216" i="22" s="1"/>
  <c r="S217" i="22"/>
  <c r="U217" i="22" s="1"/>
  <c r="S218" i="22"/>
  <c r="U218" i="22" s="1"/>
  <c r="S219" i="22"/>
  <c r="U219" i="22" s="1"/>
  <c r="S220" i="22"/>
  <c r="U220" i="22" s="1"/>
  <c r="S221" i="22"/>
  <c r="S222" i="22"/>
  <c r="U222" i="22" s="1"/>
  <c r="S223" i="22"/>
  <c r="S4" i="22"/>
  <c r="U4" i="22" s="1"/>
  <c r="G81" i="24" l="1"/>
  <c r="Z81" i="24"/>
  <c r="G80" i="24"/>
  <c r="Z80" i="24"/>
  <c r="G79" i="24"/>
  <c r="Z79" i="24"/>
  <c r="F24" i="23"/>
  <c r="F28" i="23"/>
  <c r="H188" i="26"/>
  <c r="G188" i="25"/>
  <c r="F26" i="23"/>
  <c r="F29" i="23"/>
  <c r="H190" i="26"/>
  <c r="G190" i="25"/>
  <c r="M72" i="24"/>
  <c r="F72" i="24" s="1"/>
  <c r="O72" i="24"/>
  <c r="G72" i="24" s="1"/>
  <c r="O54" i="24"/>
  <c r="G54" i="24" s="1"/>
  <c r="M54" i="24"/>
  <c r="F54" i="24" s="1"/>
  <c r="M5" i="24"/>
  <c r="F5" i="24" s="1"/>
  <c r="O5" i="24"/>
  <c r="G5" i="24" s="1"/>
  <c r="M6" i="24"/>
  <c r="O6" i="24"/>
  <c r="M7" i="24"/>
  <c r="O7" i="24"/>
  <c r="M8" i="24"/>
  <c r="F8" i="24" s="1"/>
  <c r="O8" i="24"/>
  <c r="G8" i="24" s="1"/>
  <c r="M10" i="24"/>
  <c r="O10" i="24"/>
  <c r="O18" i="24"/>
  <c r="G18" i="24" s="1"/>
  <c r="J18" i="24" s="1"/>
  <c r="O19" i="24"/>
  <c r="G19" i="24" s="1"/>
  <c r="J19" i="24" s="1"/>
  <c r="M14" i="24"/>
  <c r="F14" i="24" s="1"/>
  <c r="O14" i="24"/>
  <c r="G14" i="24" s="1"/>
  <c r="M24" i="24"/>
  <c r="F24" i="24" s="1"/>
  <c r="O24" i="24"/>
  <c r="G24" i="24" s="1"/>
  <c r="M25" i="24"/>
  <c r="F25" i="24" s="1"/>
  <c r="O25" i="24"/>
  <c r="G25" i="24" s="1"/>
  <c r="M26" i="24"/>
  <c r="F26" i="24" s="1"/>
  <c r="O26" i="24"/>
  <c r="G26" i="24" s="1"/>
  <c r="M27" i="24"/>
  <c r="F27" i="24" s="1"/>
  <c r="O27" i="24"/>
  <c r="G27" i="24" s="1"/>
  <c r="M28" i="24"/>
  <c r="F28" i="24" s="1"/>
  <c r="O28" i="24"/>
  <c r="G28" i="24" s="1"/>
  <c r="O29" i="24"/>
  <c r="J29" i="24" s="1"/>
  <c r="O35" i="24"/>
  <c r="G35" i="24" s="1"/>
  <c r="I35" i="24" s="1"/>
  <c r="M36" i="24"/>
  <c r="F36" i="24" s="1"/>
  <c r="O36" i="24"/>
  <c r="G36" i="24" s="1"/>
  <c r="M39" i="24"/>
  <c r="F39" i="24" s="1"/>
  <c r="O39" i="24"/>
  <c r="G39" i="24" s="1"/>
  <c r="M44" i="24"/>
  <c r="F44" i="24" s="1"/>
  <c r="O44" i="24"/>
  <c r="G44" i="24" s="1"/>
  <c r="O45" i="24"/>
  <c r="G45" i="24" s="1"/>
  <c r="J45" i="24" s="1"/>
  <c r="K45" i="26" s="1"/>
  <c r="M46" i="24"/>
  <c r="F46" i="24" s="1"/>
  <c r="O46" i="24"/>
  <c r="G46" i="24" s="1"/>
  <c r="O47" i="24"/>
  <c r="G47" i="24" s="1"/>
  <c r="I47" i="24" s="1"/>
  <c r="J47" i="26" s="1"/>
  <c r="M48" i="24"/>
  <c r="F48" i="24" s="1"/>
  <c r="O48" i="24"/>
  <c r="G48" i="24" s="1"/>
  <c r="O49" i="24"/>
  <c r="G49" i="24" s="1"/>
  <c r="J49" i="24" s="1"/>
  <c r="K49" i="26" s="1"/>
  <c r="M52" i="24"/>
  <c r="F52" i="24" s="1"/>
  <c r="O52" i="24"/>
  <c r="G52" i="24" s="1"/>
  <c r="M53" i="24"/>
  <c r="F53" i="24" s="1"/>
  <c r="O53" i="24"/>
  <c r="G53" i="24" s="1"/>
  <c r="M57" i="24"/>
  <c r="F57" i="24" s="1"/>
  <c r="O57" i="24"/>
  <c r="G57" i="24" s="1"/>
  <c r="M60" i="24"/>
  <c r="F60" i="24" s="1"/>
  <c r="O60" i="24"/>
  <c r="G60" i="24" s="1"/>
  <c r="M61" i="24"/>
  <c r="F61" i="24" s="1"/>
  <c r="O61" i="24"/>
  <c r="G61" i="24" s="1"/>
  <c r="M63" i="24"/>
  <c r="F63" i="24" s="1"/>
  <c r="O63" i="24"/>
  <c r="G63" i="24" s="1"/>
  <c r="M65" i="24"/>
  <c r="F65" i="24" s="1"/>
  <c r="O65" i="24"/>
  <c r="G65" i="24" s="1"/>
  <c r="M76" i="24"/>
  <c r="F76" i="24" s="1"/>
  <c r="O76" i="24"/>
  <c r="G76" i="24" s="1"/>
  <c r="M78" i="24"/>
  <c r="F78" i="24" s="1"/>
  <c r="O78" i="24"/>
  <c r="O82" i="24"/>
  <c r="G82" i="24" s="1"/>
  <c r="H82" i="24" s="1"/>
  <c r="I82" i="26" s="1"/>
  <c r="M84" i="24"/>
  <c r="F84" i="24" s="1"/>
  <c r="G84" i="26" s="1"/>
  <c r="F84" i="26" s="1"/>
  <c r="O84" i="24"/>
  <c r="G84" i="24" s="1"/>
  <c r="M86" i="24"/>
  <c r="O86" i="24"/>
  <c r="M88" i="24"/>
  <c r="F88" i="24" s="1"/>
  <c r="G88" i="26" s="1"/>
  <c r="F88" i="26" s="1"/>
  <c r="O88" i="24"/>
  <c r="G88" i="24" s="1"/>
  <c r="M89" i="24"/>
  <c r="F89" i="24" s="1"/>
  <c r="O89" i="24"/>
  <c r="G89" i="24" s="1"/>
  <c r="M90" i="24"/>
  <c r="F90" i="24" s="1"/>
  <c r="O90" i="24"/>
  <c r="G90" i="24" s="1"/>
  <c r="M91" i="24"/>
  <c r="F91" i="24" s="1"/>
  <c r="O91" i="24"/>
  <c r="G91" i="24" s="1"/>
  <c r="M92" i="24"/>
  <c r="O92" i="24"/>
  <c r="M94" i="24"/>
  <c r="F94" i="24" s="1"/>
  <c r="O94" i="24"/>
  <c r="G94" i="24" s="1"/>
  <c r="M95" i="24"/>
  <c r="F95" i="24" s="1"/>
  <c r="O95" i="24"/>
  <c r="G95" i="24" s="1"/>
  <c r="M96" i="24"/>
  <c r="F96" i="24" s="1"/>
  <c r="O96" i="24"/>
  <c r="G96" i="24" s="1"/>
  <c r="M97" i="24"/>
  <c r="O97" i="24"/>
  <c r="G97" i="24" s="1"/>
  <c r="M98" i="24"/>
  <c r="O98" i="24"/>
  <c r="M116" i="24"/>
  <c r="O116" i="24"/>
  <c r="M120" i="24"/>
  <c r="O120" i="24"/>
  <c r="H127" i="24"/>
  <c r="O127" i="24"/>
  <c r="M141" i="24"/>
  <c r="F141" i="24" s="1"/>
  <c r="O141" i="24"/>
  <c r="G141" i="24" s="1"/>
  <c r="M142" i="24"/>
  <c r="F142" i="24" s="1"/>
  <c r="O142" i="24"/>
  <c r="G142" i="24" s="1"/>
  <c r="M143" i="24"/>
  <c r="F143" i="24" s="1"/>
  <c r="O143" i="24"/>
  <c r="G143" i="24" s="1"/>
  <c r="M144" i="24"/>
  <c r="F144" i="24" s="1"/>
  <c r="O144" i="24"/>
  <c r="G144" i="24" s="1"/>
  <c r="M145" i="24"/>
  <c r="O145" i="24"/>
  <c r="M147" i="24"/>
  <c r="F147" i="24" s="1"/>
  <c r="O147" i="24"/>
  <c r="G147" i="24" s="1"/>
  <c r="M148" i="24"/>
  <c r="F148" i="24" s="1"/>
  <c r="O148" i="24"/>
  <c r="G148" i="24" s="1"/>
  <c r="M150" i="24"/>
  <c r="F150" i="24" s="1"/>
  <c r="O150" i="24"/>
  <c r="G150" i="24" s="1"/>
  <c r="M151" i="24"/>
  <c r="F151" i="24" s="1"/>
  <c r="O151" i="24"/>
  <c r="G151" i="24" s="1"/>
  <c r="M152" i="24"/>
  <c r="F152" i="24" s="1"/>
  <c r="O152" i="24"/>
  <c r="G152" i="24" s="1"/>
  <c r="M156" i="24"/>
  <c r="F156" i="24" s="1"/>
  <c r="O156" i="24"/>
  <c r="G156" i="24" s="1"/>
  <c r="M158" i="24"/>
  <c r="F158" i="24" s="1"/>
  <c r="O158" i="24"/>
  <c r="G158" i="24" s="1"/>
  <c r="H160" i="24"/>
  <c r="I160" i="26" s="1"/>
  <c r="O160" i="24"/>
  <c r="M162" i="24"/>
  <c r="F162" i="24" s="1"/>
  <c r="O162" i="24"/>
  <c r="G162" i="24" s="1"/>
  <c r="J165" i="24"/>
  <c r="J165" i="25" s="1"/>
  <c r="O165" i="24"/>
  <c r="J166" i="24"/>
  <c r="K166" i="26" s="1"/>
  <c r="O166" i="24"/>
  <c r="M167" i="24"/>
  <c r="O167" i="24"/>
  <c r="O215" i="24"/>
  <c r="G215" i="24" s="1"/>
  <c r="J215" i="24" s="1"/>
  <c r="M166" i="24"/>
  <c r="M51" i="24"/>
  <c r="F51" i="24" s="1"/>
  <c r="M56" i="24"/>
  <c r="F56" i="24" s="1"/>
  <c r="I19" i="24"/>
  <c r="M87" i="24"/>
  <c r="M160" i="24"/>
  <c r="J70" i="24"/>
  <c r="J70" i="25" s="1"/>
  <c r="I70" i="24"/>
  <c r="J70" i="26" s="1"/>
  <c r="H70" i="24"/>
  <c r="I70" i="26" s="1"/>
  <c r="H45" i="24"/>
  <c r="I45" i="26" s="1"/>
  <c r="M70" i="24"/>
  <c r="I82" i="24"/>
  <c r="J82" i="26" s="1"/>
  <c r="J82" i="24"/>
  <c r="K82" i="26" s="1"/>
  <c r="F88" i="25"/>
  <c r="H34" i="26"/>
  <c r="M34" i="24"/>
  <c r="F34" i="24" s="1"/>
  <c r="H217" i="26"/>
  <c r="J217" i="24"/>
  <c r="I217" i="24"/>
  <c r="H217" i="24"/>
  <c r="H19" i="24"/>
  <c r="H44" i="24"/>
  <c r="I44" i="26" s="1"/>
  <c r="I91" i="24"/>
  <c r="D13" i="28" s="1"/>
  <c r="E13" i="28" s="1"/>
  <c r="I18" i="24"/>
  <c r="I18" i="25" s="1"/>
  <c r="J35" i="24"/>
  <c r="K35" i="26" s="1"/>
  <c r="J47" i="24"/>
  <c r="J47" i="25" s="1"/>
  <c r="H18" i="24"/>
  <c r="I18" i="26" s="1"/>
  <c r="M47" i="24"/>
  <c r="J162" i="24"/>
  <c r="I29" i="24"/>
  <c r="J29" i="26" s="1"/>
  <c r="H49" i="24"/>
  <c r="I49" i="26" s="1"/>
  <c r="H29" i="24"/>
  <c r="I29" i="26" s="1"/>
  <c r="I49" i="24"/>
  <c r="J49" i="26" s="1"/>
  <c r="I76" i="24"/>
  <c r="J76" i="26" s="1"/>
  <c r="I17" i="24"/>
  <c r="J17" i="26" s="1"/>
  <c r="J17" i="24"/>
  <c r="K17" i="26" s="1"/>
  <c r="I127" i="24"/>
  <c r="D23" i="28" s="1"/>
  <c r="E23" i="28" s="1"/>
  <c r="J127" i="24"/>
  <c r="J127" i="25" s="1"/>
  <c r="H141" i="26"/>
  <c r="M17" i="24"/>
  <c r="G143" i="25"/>
  <c r="H165" i="24"/>
  <c r="I165" i="26" s="1"/>
  <c r="I80" i="24"/>
  <c r="J80" i="26" s="1"/>
  <c r="J80" i="24"/>
  <c r="K80" i="26" s="1"/>
  <c r="H80" i="24"/>
  <c r="I80" i="26" s="1"/>
  <c r="H24" i="23"/>
  <c r="H28" i="23"/>
  <c r="I24" i="23"/>
  <c r="I28" i="23"/>
  <c r="I45" i="24"/>
  <c r="J45" i="26" s="1"/>
  <c r="I165" i="24"/>
  <c r="J165" i="26" s="1"/>
  <c r="G23" i="23"/>
  <c r="G22" i="23"/>
  <c r="H39" i="26"/>
  <c r="H65" i="26"/>
  <c r="H23" i="23"/>
  <c r="H22" i="23"/>
  <c r="G29" i="23"/>
  <c r="G26" i="23"/>
  <c r="M212" i="24"/>
  <c r="I23" i="23"/>
  <c r="I22" i="23"/>
  <c r="H29" i="23"/>
  <c r="H26" i="23"/>
  <c r="H166" i="24"/>
  <c r="I166" i="26" s="1"/>
  <c r="H17" i="24"/>
  <c r="H17" i="25" s="1"/>
  <c r="H35" i="24"/>
  <c r="H35" i="25" s="1"/>
  <c r="H47" i="24"/>
  <c r="I47" i="26" s="1"/>
  <c r="M80" i="24"/>
  <c r="I166" i="24"/>
  <c r="I166" i="25" s="1"/>
  <c r="I29" i="23"/>
  <c r="I26" i="23"/>
  <c r="H28" i="26"/>
  <c r="H97" i="24"/>
  <c r="H150" i="26"/>
  <c r="G24" i="23"/>
  <c r="G28" i="23"/>
  <c r="H165" i="26"/>
  <c r="G165" i="25"/>
  <c r="G166" i="26"/>
  <c r="F166" i="25"/>
  <c r="H166" i="26"/>
  <c r="G166" i="25"/>
  <c r="G167" i="26"/>
  <c r="F167" i="25"/>
  <c r="H9" i="26"/>
  <c r="G10" i="26"/>
  <c r="F10" i="26" s="1"/>
  <c r="F10" i="25"/>
  <c r="H21" i="26"/>
  <c r="H17" i="26"/>
  <c r="G17" i="25"/>
  <c r="H18" i="26"/>
  <c r="G18" i="25"/>
  <c r="G27" i="26"/>
  <c r="F27" i="26" s="1"/>
  <c r="F27" i="25"/>
  <c r="G28" i="26"/>
  <c r="F28" i="26" s="1"/>
  <c r="F28" i="25"/>
  <c r="H29" i="26"/>
  <c r="G29" i="25"/>
  <c r="H35" i="26"/>
  <c r="G35" i="25"/>
  <c r="G39" i="26"/>
  <c r="F39" i="26" s="1"/>
  <c r="F39" i="25"/>
  <c r="G44" i="26"/>
  <c r="F44" i="26" s="1"/>
  <c r="F44" i="25"/>
  <c r="H45" i="26"/>
  <c r="G45" i="25"/>
  <c r="G46" i="26"/>
  <c r="F46" i="26" s="1"/>
  <c r="F46" i="25"/>
  <c r="H47" i="26"/>
  <c r="G47" i="25"/>
  <c r="G48" i="26"/>
  <c r="F48" i="26" s="1"/>
  <c r="F48" i="25"/>
  <c r="H49" i="26"/>
  <c r="G49" i="25"/>
  <c r="H70" i="26"/>
  <c r="G70" i="25"/>
  <c r="H76" i="26"/>
  <c r="G76" i="25"/>
  <c r="G76" i="26"/>
  <c r="F76" i="26" s="1"/>
  <c r="F76" i="25"/>
  <c r="H80" i="26"/>
  <c r="G80" i="25"/>
  <c r="H82" i="26"/>
  <c r="G82" i="25"/>
  <c r="F84" i="25"/>
  <c r="J93" i="24"/>
  <c r="J93" i="25" s="1"/>
  <c r="H127" i="26"/>
  <c r="G127" i="25"/>
  <c r="G151" i="26"/>
  <c r="F151" i="25"/>
  <c r="G158" i="26"/>
  <c r="F158" i="25"/>
  <c r="M133" i="24"/>
  <c r="F133" i="24" s="1"/>
  <c r="M134" i="24"/>
  <c r="F134" i="24" s="1"/>
  <c r="M135" i="24"/>
  <c r="F135" i="24" s="1"/>
  <c r="M136" i="24"/>
  <c r="F136" i="24" s="1"/>
  <c r="J136" i="24"/>
  <c r="K136" i="26" s="1"/>
  <c r="M137" i="24"/>
  <c r="M138" i="24"/>
  <c r="F138" i="24" s="1"/>
  <c r="M139" i="24"/>
  <c r="F139" i="24" s="1"/>
  <c r="H130" i="24"/>
  <c r="I130" i="26" s="1"/>
  <c r="I130" i="24"/>
  <c r="I130" i="25" s="1"/>
  <c r="J130" i="24"/>
  <c r="K130" i="26" s="1"/>
  <c r="H40" i="24"/>
  <c r="H40" i="25" s="1"/>
  <c r="J40" i="24"/>
  <c r="K40" i="26" s="1"/>
  <c r="I40" i="24"/>
  <c r="J40" i="26" s="1"/>
  <c r="I155" i="24"/>
  <c r="I155" i="25" s="1"/>
  <c r="H155" i="24"/>
  <c r="I155" i="26" s="1"/>
  <c r="J155" i="24"/>
  <c r="K155" i="26" s="1"/>
  <c r="J69" i="24"/>
  <c r="K69" i="26" s="1"/>
  <c r="I69" i="24"/>
  <c r="J69" i="26" s="1"/>
  <c r="M85" i="24"/>
  <c r="M118" i="24"/>
  <c r="M155" i="24"/>
  <c r="M189" i="24"/>
  <c r="M215" i="24"/>
  <c r="F215" i="24" s="1"/>
  <c r="M19" i="24"/>
  <c r="F19" i="24" s="1"/>
  <c r="M40" i="24"/>
  <c r="F40" i="24" s="1"/>
  <c r="M99" i="24"/>
  <c r="M38" i="24"/>
  <c r="F38" i="24" s="1"/>
  <c r="M45" i="24"/>
  <c r="F45" i="24" s="1"/>
  <c r="H52" i="26"/>
  <c r="M69" i="24"/>
  <c r="M82" i="24"/>
  <c r="F82" i="24" s="1"/>
  <c r="G92" i="25"/>
  <c r="H61" i="26"/>
  <c r="J89" i="24"/>
  <c r="M217" i="24"/>
  <c r="M93" i="24"/>
  <c r="F93" i="24" s="1"/>
  <c r="M114" i="24"/>
  <c r="H147" i="26"/>
  <c r="H103" i="24"/>
  <c r="I103" i="26" s="1"/>
  <c r="I103" i="24"/>
  <c r="J103" i="26" s="1"/>
  <c r="H133" i="24"/>
  <c r="H133" i="25" s="1"/>
  <c r="M146" i="24"/>
  <c r="F146" i="25" s="1"/>
  <c r="M186" i="24"/>
  <c r="M218" i="24"/>
  <c r="H156" i="24"/>
  <c r="H40" i="26"/>
  <c r="G40" i="25"/>
  <c r="N3" i="23"/>
  <c r="F3" i="23" s="1"/>
  <c r="L3" i="23"/>
  <c r="E3" i="23" s="1"/>
  <c r="N4" i="23"/>
  <c r="F4" i="23" s="1"/>
  <c r="L4" i="23"/>
  <c r="E4" i="23" s="1"/>
  <c r="G160" i="26"/>
  <c r="F160" i="25"/>
  <c r="H160" i="26"/>
  <c r="G160" i="25"/>
  <c r="G110" i="26"/>
  <c r="F110" i="25"/>
  <c r="H110" i="26"/>
  <c r="G110" i="25"/>
  <c r="K18" i="26"/>
  <c r="J18" i="25"/>
  <c r="H16" i="26"/>
  <c r="G16" i="25"/>
  <c r="G14" i="26"/>
  <c r="F14" i="26" s="1"/>
  <c r="F14" i="25"/>
  <c r="G92" i="26"/>
  <c r="F92" i="26" s="1"/>
  <c r="F92" i="25"/>
  <c r="H155" i="26"/>
  <c r="G155" i="25"/>
  <c r="I6" i="26"/>
  <c r="H6" i="25"/>
  <c r="J6" i="26"/>
  <c r="I6" i="25"/>
  <c r="K6" i="26"/>
  <c r="J6" i="25"/>
  <c r="I7" i="26"/>
  <c r="H7" i="25"/>
  <c r="J7" i="26"/>
  <c r="I7" i="25"/>
  <c r="K7" i="26"/>
  <c r="J7" i="25"/>
  <c r="I13" i="26"/>
  <c r="H13" i="25"/>
  <c r="J13" i="26"/>
  <c r="I13" i="25"/>
  <c r="K13" i="26"/>
  <c r="J13" i="25"/>
  <c r="H19" i="26"/>
  <c r="G19" i="25"/>
  <c r="G24" i="26"/>
  <c r="F24" i="26" s="1"/>
  <c r="F24" i="25"/>
  <c r="G25" i="26"/>
  <c r="F25" i="26" s="1"/>
  <c r="F25" i="25"/>
  <c r="J26" i="24"/>
  <c r="H26" i="26"/>
  <c r="G26" i="25"/>
  <c r="G26" i="26"/>
  <c r="F26" i="26" s="1"/>
  <c r="F26" i="25"/>
  <c r="K29" i="26"/>
  <c r="J29" i="25"/>
  <c r="J31" i="24"/>
  <c r="H31" i="26"/>
  <c r="G31" i="25"/>
  <c r="H32" i="26"/>
  <c r="G32" i="25"/>
  <c r="J33" i="24"/>
  <c r="H33" i="26"/>
  <c r="G33" i="25"/>
  <c r="J35" i="26"/>
  <c r="I35" i="25"/>
  <c r="G36" i="26"/>
  <c r="F36" i="26" s="1"/>
  <c r="F36" i="25"/>
  <c r="J38" i="24"/>
  <c r="H38" i="26"/>
  <c r="G38" i="25"/>
  <c r="J45" i="25"/>
  <c r="G51" i="26"/>
  <c r="F51" i="26" s="1"/>
  <c r="F51" i="25"/>
  <c r="H51" i="26"/>
  <c r="G51" i="25"/>
  <c r="G52" i="26"/>
  <c r="F52" i="26" s="1"/>
  <c r="F52" i="25"/>
  <c r="G53" i="26"/>
  <c r="F53" i="26" s="1"/>
  <c r="F53" i="25"/>
  <c r="H54" i="26"/>
  <c r="G54" i="25"/>
  <c r="H55" i="26"/>
  <c r="G55" i="25"/>
  <c r="G56" i="26"/>
  <c r="F56" i="26" s="1"/>
  <c r="F56" i="25"/>
  <c r="H56" i="26"/>
  <c r="G56" i="25"/>
  <c r="G57" i="26"/>
  <c r="F57" i="26" s="1"/>
  <c r="F57" i="25"/>
  <c r="H58" i="26"/>
  <c r="G58" i="25"/>
  <c r="H59" i="26"/>
  <c r="G59" i="25"/>
  <c r="G60" i="26"/>
  <c r="F60" i="26" s="1"/>
  <c r="F60" i="25"/>
  <c r="G61" i="26"/>
  <c r="F61" i="26" s="1"/>
  <c r="F61" i="25"/>
  <c r="H62" i="26"/>
  <c r="G62" i="25"/>
  <c r="G63" i="26"/>
  <c r="F63" i="26" s="1"/>
  <c r="F63" i="25"/>
  <c r="H64" i="26"/>
  <c r="G64" i="25"/>
  <c r="G65" i="26"/>
  <c r="F65" i="26" s="1"/>
  <c r="F65" i="25"/>
  <c r="J68" i="24"/>
  <c r="H68" i="26"/>
  <c r="G68" i="25"/>
  <c r="H69" i="24"/>
  <c r="H69" i="26"/>
  <c r="G69" i="25"/>
  <c r="K70" i="26"/>
  <c r="H75" i="26"/>
  <c r="G75" i="25"/>
  <c r="H77" i="26"/>
  <c r="G77" i="25"/>
  <c r="G78" i="26"/>
  <c r="F78" i="26" s="1"/>
  <c r="F78" i="25"/>
  <c r="H79" i="26"/>
  <c r="G79" i="25"/>
  <c r="H81" i="26"/>
  <c r="G81" i="25"/>
  <c r="I85" i="26"/>
  <c r="H85" i="25"/>
  <c r="J85" i="26"/>
  <c r="I85" i="25"/>
  <c r="K85" i="26"/>
  <c r="J85" i="25"/>
  <c r="I86" i="26"/>
  <c r="H86" i="25"/>
  <c r="J86" i="26"/>
  <c r="I86" i="25"/>
  <c r="K86" i="26"/>
  <c r="J86" i="25"/>
  <c r="J87" i="24"/>
  <c r="H87" i="26"/>
  <c r="G87" i="25"/>
  <c r="G89" i="26"/>
  <c r="F89" i="26" s="1"/>
  <c r="F89" i="25"/>
  <c r="G90" i="26"/>
  <c r="F90" i="26" s="1"/>
  <c r="F90" i="25"/>
  <c r="G91" i="26"/>
  <c r="F91" i="26" s="1"/>
  <c r="F91" i="25"/>
  <c r="J99" i="24"/>
  <c r="H99" i="26"/>
  <c r="G99" i="25"/>
  <c r="G102" i="26"/>
  <c r="F102" i="25"/>
  <c r="J102" i="24"/>
  <c r="H102" i="26"/>
  <c r="G102" i="25"/>
  <c r="K103" i="26"/>
  <c r="J103" i="25"/>
  <c r="G103" i="26"/>
  <c r="F103" i="25"/>
  <c r="H103" i="26"/>
  <c r="G103" i="25"/>
  <c r="I105" i="26"/>
  <c r="H105" i="25"/>
  <c r="G105" i="26"/>
  <c r="F105" i="25"/>
  <c r="J105" i="24"/>
  <c r="H105" i="26"/>
  <c r="G105" i="25"/>
  <c r="G106" i="26"/>
  <c r="F106" i="25"/>
  <c r="J106" i="24"/>
  <c r="H106" i="26"/>
  <c r="G106" i="25"/>
  <c r="G107" i="26"/>
  <c r="F107" i="25"/>
  <c r="H107" i="26"/>
  <c r="G107" i="25"/>
  <c r="I108" i="26"/>
  <c r="H108" i="25"/>
  <c r="J108" i="26"/>
  <c r="I108" i="25"/>
  <c r="K108" i="26"/>
  <c r="J108" i="25"/>
  <c r="I113" i="26"/>
  <c r="H113" i="25"/>
  <c r="J113" i="26"/>
  <c r="I113" i="25"/>
  <c r="K113" i="26"/>
  <c r="J113" i="25"/>
  <c r="I114" i="26"/>
  <c r="H114" i="25"/>
  <c r="J114" i="26"/>
  <c r="I114" i="25"/>
  <c r="K114" i="26"/>
  <c r="J114" i="25"/>
  <c r="I115" i="26"/>
  <c r="H115" i="25"/>
  <c r="J115" i="26"/>
  <c r="I115" i="25"/>
  <c r="K115" i="26"/>
  <c r="J115" i="25"/>
  <c r="I116" i="26"/>
  <c r="H116" i="25"/>
  <c r="J116" i="26"/>
  <c r="I116" i="25"/>
  <c r="K116" i="26"/>
  <c r="J116" i="25"/>
  <c r="I117" i="26"/>
  <c r="H117" i="25"/>
  <c r="J117" i="26"/>
  <c r="I117" i="25"/>
  <c r="K117" i="26"/>
  <c r="J117" i="25"/>
  <c r="I118" i="26"/>
  <c r="H118" i="25"/>
  <c r="J118" i="26"/>
  <c r="I118" i="25"/>
  <c r="K118" i="26"/>
  <c r="J118" i="25"/>
  <c r="I119" i="26"/>
  <c r="H119" i="25"/>
  <c r="J119" i="26"/>
  <c r="I119" i="25"/>
  <c r="K119" i="26"/>
  <c r="J119" i="25"/>
  <c r="I120" i="26"/>
  <c r="H120" i="25"/>
  <c r="J120" i="26"/>
  <c r="I120" i="25"/>
  <c r="K120" i="26"/>
  <c r="J120" i="25"/>
  <c r="I125" i="26"/>
  <c r="H125" i="25"/>
  <c r="J125" i="26"/>
  <c r="I125" i="25"/>
  <c r="K125" i="26"/>
  <c r="J125" i="25"/>
  <c r="I126" i="26"/>
  <c r="H126" i="25"/>
  <c r="J126" i="26"/>
  <c r="I126" i="25"/>
  <c r="K126" i="26"/>
  <c r="J126" i="25"/>
  <c r="I127" i="26"/>
  <c r="H127" i="25"/>
  <c r="G130" i="26"/>
  <c r="F130" i="26" s="1"/>
  <c r="F130" i="25"/>
  <c r="H130" i="26"/>
  <c r="G130" i="25"/>
  <c r="G132" i="26"/>
  <c r="F132" i="25"/>
  <c r="H132" i="24"/>
  <c r="H132" i="26"/>
  <c r="G132" i="25"/>
  <c r="G133" i="26"/>
  <c r="F133" i="25"/>
  <c r="H133" i="26"/>
  <c r="G133" i="25"/>
  <c r="G134" i="26"/>
  <c r="F134" i="25"/>
  <c r="H134" i="24"/>
  <c r="H134" i="26"/>
  <c r="G134" i="25"/>
  <c r="G135" i="26"/>
  <c r="F135" i="25"/>
  <c r="H135" i="24"/>
  <c r="H135" i="26"/>
  <c r="G135" i="25"/>
  <c r="G136" i="26"/>
  <c r="F136" i="25"/>
  <c r="H136" i="24"/>
  <c r="H136" i="26"/>
  <c r="G136" i="25"/>
  <c r="J137" i="24"/>
  <c r="H137" i="26"/>
  <c r="G137" i="25"/>
  <c r="G138" i="26"/>
  <c r="F138" i="25"/>
  <c r="H138" i="24"/>
  <c r="H138" i="26"/>
  <c r="G138" i="25"/>
  <c r="G139" i="26"/>
  <c r="F139" i="25"/>
  <c r="H139" i="24"/>
  <c r="H139" i="26"/>
  <c r="G139" i="25"/>
  <c r="G141" i="26"/>
  <c r="F141" i="25"/>
  <c r="G142" i="26"/>
  <c r="F142" i="25"/>
  <c r="G143" i="26"/>
  <c r="F143" i="25"/>
  <c r="J144" i="24"/>
  <c r="H144" i="26"/>
  <c r="G144" i="25"/>
  <c r="G144" i="26"/>
  <c r="F144" i="25"/>
  <c r="G145" i="26"/>
  <c r="F145" i="25"/>
  <c r="J146" i="24"/>
  <c r="H146" i="26"/>
  <c r="G146" i="25"/>
  <c r="G147" i="26"/>
  <c r="F147" i="25"/>
  <c r="G148" i="26"/>
  <c r="F148" i="25"/>
  <c r="G150" i="26"/>
  <c r="F150" i="25"/>
  <c r="G152" i="26"/>
  <c r="F152" i="25"/>
  <c r="H153" i="26"/>
  <c r="G153" i="25"/>
  <c r="I154" i="26"/>
  <c r="H154" i="25"/>
  <c r="J154" i="26"/>
  <c r="I154" i="25"/>
  <c r="K154" i="26"/>
  <c r="J154" i="25"/>
  <c r="I156" i="24"/>
  <c r="H156" i="26"/>
  <c r="G156" i="25"/>
  <c r="G156" i="26"/>
  <c r="F156" i="25"/>
  <c r="H20" i="23"/>
  <c r="J160" i="26"/>
  <c r="I160" i="25"/>
  <c r="K160" i="26"/>
  <c r="J160" i="25"/>
  <c r="H161" i="26"/>
  <c r="G161" i="25"/>
  <c r="G162" i="26"/>
  <c r="F162" i="25"/>
  <c r="H163" i="26"/>
  <c r="G163" i="25"/>
  <c r="I173" i="26"/>
  <c r="H173" i="25"/>
  <c r="J173" i="26"/>
  <c r="I173" i="25"/>
  <c r="K173" i="26"/>
  <c r="J173" i="25"/>
  <c r="I174" i="26"/>
  <c r="H174" i="25"/>
  <c r="J174" i="26"/>
  <c r="I174" i="25"/>
  <c r="K174" i="26"/>
  <c r="J174" i="25"/>
  <c r="I175" i="26"/>
  <c r="H175" i="25"/>
  <c r="J175" i="26"/>
  <c r="I175" i="25"/>
  <c r="K175" i="26"/>
  <c r="J175" i="25"/>
  <c r="I176" i="26"/>
  <c r="H176" i="25"/>
  <c r="J176" i="26"/>
  <c r="I176" i="25"/>
  <c r="K176" i="26"/>
  <c r="J176" i="25"/>
  <c r="I177" i="26"/>
  <c r="H177" i="25"/>
  <c r="J177" i="26"/>
  <c r="I177" i="25"/>
  <c r="K177" i="26"/>
  <c r="J177" i="25"/>
  <c r="I178" i="26"/>
  <c r="H178" i="25"/>
  <c r="J178" i="26"/>
  <c r="I178" i="25"/>
  <c r="K178" i="26"/>
  <c r="J178" i="25"/>
  <c r="I179" i="26"/>
  <c r="H179" i="25"/>
  <c r="J179" i="26"/>
  <c r="I179" i="25"/>
  <c r="K179" i="26"/>
  <c r="J179" i="25"/>
  <c r="I180" i="26"/>
  <c r="H180" i="25"/>
  <c r="J180" i="26"/>
  <c r="I180" i="25"/>
  <c r="K180" i="26"/>
  <c r="J180" i="25"/>
  <c r="I181" i="26"/>
  <c r="H181" i="25"/>
  <c r="J181" i="26"/>
  <c r="I181" i="25"/>
  <c r="K181" i="26"/>
  <c r="J181" i="25"/>
  <c r="I182" i="26"/>
  <c r="H182" i="25"/>
  <c r="J182" i="26"/>
  <c r="I182" i="25"/>
  <c r="K182" i="26"/>
  <c r="J182" i="25"/>
  <c r="G183" i="26"/>
  <c r="F183" i="25"/>
  <c r="H183" i="26"/>
  <c r="G183" i="25"/>
  <c r="I186" i="26"/>
  <c r="H186" i="25"/>
  <c r="J186" i="26"/>
  <c r="I186" i="25"/>
  <c r="K186" i="26"/>
  <c r="J186" i="25"/>
  <c r="H187" i="26"/>
  <c r="G187" i="25"/>
  <c r="I188" i="26"/>
  <c r="H188" i="25"/>
  <c r="J188" i="26"/>
  <c r="I188" i="25"/>
  <c r="K188" i="26"/>
  <c r="J188" i="25"/>
  <c r="I189" i="26"/>
  <c r="H189" i="25"/>
  <c r="J189" i="26"/>
  <c r="I189" i="25"/>
  <c r="K189" i="26"/>
  <c r="J189" i="25"/>
  <c r="I190" i="26"/>
  <c r="H190" i="25"/>
  <c r="J190" i="26"/>
  <c r="I190" i="25"/>
  <c r="K190" i="26"/>
  <c r="J190" i="25"/>
  <c r="G192" i="26"/>
  <c r="F192" i="25"/>
  <c r="H192" i="24"/>
  <c r="H192" i="26"/>
  <c r="G192" i="25"/>
  <c r="G193" i="26"/>
  <c r="F193" i="25"/>
  <c r="H193" i="24"/>
  <c r="H193" i="26"/>
  <c r="G193" i="25"/>
  <c r="G194" i="26"/>
  <c r="F194" i="25"/>
  <c r="H194" i="24"/>
  <c r="H194" i="26"/>
  <c r="G194" i="25"/>
  <c r="G195" i="26"/>
  <c r="F195" i="25"/>
  <c r="H195" i="24"/>
  <c r="H195" i="26"/>
  <c r="G195" i="25"/>
  <c r="G196" i="26"/>
  <c r="F196" i="25"/>
  <c r="H196" i="24"/>
  <c r="H196" i="26"/>
  <c r="G196" i="25"/>
  <c r="G197" i="26"/>
  <c r="F197" i="25"/>
  <c r="H197" i="24"/>
  <c r="H197" i="26"/>
  <c r="G197" i="25"/>
  <c r="G198" i="26"/>
  <c r="F198" i="25"/>
  <c r="H198" i="24"/>
  <c r="H198" i="26"/>
  <c r="G198" i="25"/>
  <c r="G199" i="26"/>
  <c r="F199" i="25"/>
  <c r="H199" i="24"/>
  <c r="H199" i="26"/>
  <c r="G199" i="25"/>
  <c r="G200" i="26"/>
  <c r="F200" i="25"/>
  <c r="H200" i="24"/>
  <c r="H200" i="26"/>
  <c r="G200" i="25"/>
  <c r="G201" i="26"/>
  <c r="F201" i="25"/>
  <c r="H201" i="24"/>
  <c r="H201" i="26"/>
  <c r="G201" i="25"/>
  <c r="G202" i="26"/>
  <c r="F202" i="25"/>
  <c r="H202" i="24"/>
  <c r="H202" i="26"/>
  <c r="G202" i="25"/>
  <c r="G203" i="26"/>
  <c r="F203" i="25"/>
  <c r="H203" i="24"/>
  <c r="H203" i="26"/>
  <c r="G203" i="25"/>
  <c r="G204" i="26"/>
  <c r="F204" i="25"/>
  <c r="H204" i="24"/>
  <c r="H204" i="26"/>
  <c r="G204" i="25"/>
  <c r="G205" i="26"/>
  <c r="F205" i="25"/>
  <c r="H205" i="24"/>
  <c r="H205" i="26"/>
  <c r="G205" i="25"/>
  <c r="G206" i="26"/>
  <c r="F206" i="25"/>
  <c r="H206" i="24"/>
  <c r="H206" i="26"/>
  <c r="G206" i="25"/>
  <c r="G207" i="26"/>
  <c r="F207" i="25"/>
  <c r="H207" i="24"/>
  <c r="H207" i="26"/>
  <c r="G207" i="25"/>
  <c r="J210" i="24"/>
  <c r="H210" i="26"/>
  <c r="G210" i="25"/>
  <c r="H211" i="26"/>
  <c r="G211" i="25"/>
  <c r="J212" i="24"/>
  <c r="H212" i="26"/>
  <c r="G212" i="25"/>
  <c r="H213" i="26"/>
  <c r="G213" i="25"/>
  <c r="K215" i="26"/>
  <c r="J215" i="25"/>
  <c r="G215" i="26"/>
  <c r="F215" i="25"/>
  <c r="I215" i="24"/>
  <c r="H215" i="26"/>
  <c r="G215" i="25"/>
  <c r="H218" i="26"/>
  <c r="G218" i="25"/>
  <c r="J153" i="24"/>
  <c r="I153" i="24"/>
  <c r="H153" i="24"/>
  <c r="H32" i="24"/>
  <c r="J32" i="24"/>
  <c r="I32" i="24"/>
  <c r="I105" i="24"/>
  <c r="I134" i="24"/>
  <c r="I139" i="24"/>
  <c r="M153" i="24"/>
  <c r="M188" i="24"/>
  <c r="F188" i="24" s="1"/>
  <c r="J134" i="24"/>
  <c r="J139" i="24"/>
  <c r="M32" i="24"/>
  <c r="F32" i="24" s="1"/>
  <c r="M55" i="24"/>
  <c r="F55" i="24" s="1"/>
  <c r="I137" i="24"/>
  <c r="I146" i="24"/>
  <c r="M210" i="24"/>
  <c r="F210" i="24" s="1"/>
  <c r="H137" i="24"/>
  <c r="H146" i="24"/>
  <c r="M49" i="24"/>
  <c r="F49" i="24" s="1"/>
  <c r="F19" i="23"/>
  <c r="M190" i="24"/>
  <c r="F190" i="24" s="1"/>
  <c r="M127" i="24"/>
  <c r="M187" i="24"/>
  <c r="H144" i="24"/>
  <c r="H87" i="24"/>
  <c r="H99" i="24"/>
  <c r="I144" i="24"/>
  <c r="M29" i="24"/>
  <c r="M33" i="24"/>
  <c r="F33" i="24" s="1"/>
  <c r="M35" i="24"/>
  <c r="F35" i="24" s="1"/>
  <c r="I87" i="24"/>
  <c r="I99" i="24"/>
  <c r="M113" i="24"/>
  <c r="M115" i="24"/>
  <c r="M117" i="24"/>
  <c r="M119" i="24"/>
  <c r="I138" i="24"/>
  <c r="D25" i="28" s="1"/>
  <c r="E25" i="28" s="1"/>
  <c r="I136" i="24"/>
  <c r="J138" i="24"/>
  <c r="G18" i="23"/>
  <c r="I132" i="24"/>
  <c r="H162" i="24"/>
  <c r="M9" i="24"/>
  <c r="F9" i="24" s="1"/>
  <c r="M31" i="24"/>
  <c r="F31" i="24" s="1"/>
  <c r="M59" i="24"/>
  <c r="F59" i="24" s="1"/>
  <c r="M64" i="24"/>
  <c r="F64" i="24" s="1"/>
  <c r="M68" i="24"/>
  <c r="F68" i="24" s="1"/>
  <c r="H18" i="23"/>
  <c r="J132" i="24"/>
  <c r="J187" i="24"/>
  <c r="I187" i="24"/>
  <c r="H187" i="24"/>
  <c r="J77" i="24"/>
  <c r="I77" i="24"/>
  <c r="H77" i="24"/>
  <c r="J163" i="24"/>
  <c r="I163" i="24"/>
  <c r="H163" i="24"/>
  <c r="J16" i="24"/>
  <c r="I16" i="24"/>
  <c r="H16" i="24"/>
  <c r="J79" i="24"/>
  <c r="I79" i="24"/>
  <c r="H79" i="24"/>
  <c r="H213" i="24"/>
  <c r="I213" i="24"/>
  <c r="J213" i="24"/>
  <c r="J81" i="24"/>
  <c r="I81" i="24"/>
  <c r="H81" i="24"/>
  <c r="J75" i="24"/>
  <c r="I75" i="24"/>
  <c r="H75" i="24"/>
  <c r="J161" i="24"/>
  <c r="I161" i="24"/>
  <c r="H161" i="24"/>
  <c r="I211" i="24"/>
  <c r="H211" i="24"/>
  <c r="J211" i="24"/>
  <c r="H24" i="24"/>
  <c r="H26" i="24"/>
  <c r="I26" i="24"/>
  <c r="I24" i="24"/>
  <c r="H33" i="24"/>
  <c r="H38" i="24"/>
  <c r="H68" i="24"/>
  <c r="M21" i="24"/>
  <c r="F21" i="24" s="1"/>
  <c r="M18" i="24"/>
  <c r="F18" i="24" s="1"/>
  <c r="I31" i="24"/>
  <c r="I33" i="24"/>
  <c r="I38" i="24"/>
  <c r="I68" i="24"/>
  <c r="M165" i="24"/>
  <c r="M211" i="24"/>
  <c r="F211" i="24" s="1"/>
  <c r="M213" i="24"/>
  <c r="F213" i="24" s="1"/>
  <c r="H31" i="24"/>
  <c r="M16" i="24"/>
  <c r="F16" i="24" s="1"/>
  <c r="M58" i="24"/>
  <c r="F58" i="24" s="1"/>
  <c r="M62" i="24"/>
  <c r="F62" i="24" s="1"/>
  <c r="M75" i="24"/>
  <c r="F75" i="24" s="1"/>
  <c r="M77" i="24"/>
  <c r="F77" i="24" s="1"/>
  <c r="M79" i="24"/>
  <c r="F79" i="24" s="1"/>
  <c r="M81" i="24"/>
  <c r="F81" i="24" s="1"/>
  <c r="I102" i="24"/>
  <c r="I106" i="24"/>
  <c r="J145" i="24"/>
  <c r="J156" i="24"/>
  <c r="G20" i="23"/>
  <c r="M161" i="24"/>
  <c r="F161" i="24" s="1"/>
  <c r="M163" i="24"/>
  <c r="F163" i="24" s="1"/>
  <c r="I210" i="24"/>
  <c r="I212" i="24"/>
  <c r="H215" i="24"/>
  <c r="H145" i="24"/>
  <c r="H102" i="24"/>
  <c r="H106" i="24"/>
  <c r="H210" i="24"/>
  <c r="H212" i="24"/>
  <c r="K191" i="22"/>
  <c r="M191" i="22"/>
  <c r="K190" i="22"/>
  <c r="M190" i="22"/>
  <c r="K183" i="22"/>
  <c r="M183" i="22"/>
  <c r="K189" i="22"/>
  <c r="M189" i="22"/>
  <c r="K188" i="22"/>
  <c r="M188" i="22"/>
  <c r="K187" i="22"/>
  <c r="M187" i="22"/>
  <c r="K186" i="22"/>
  <c r="M186" i="22"/>
  <c r="K185" i="22"/>
  <c r="M185" i="22"/>
  <c r="K184" i="22"/>
  <c r="M184" i="22"/>
  <c r="K182" i="22"/>
  <c r="M182" i="22"/>
  <c r="K65" i="22"/>
  <c r="M65" i="22"/>
  <c r="K64" i="22"/>
  <c r="M64" i="22"/>
  <c r="K132" i="22"/>
  <c r="M132" i="22"/>
  <c r="K134" i="22"/>
  <c r="M134" i="22"/>
  <c r="K133" i="22"/>
  <c r="M133" i="22"/>
  <c r="K146" i="22"/>
  <c r="M146" i="22"/>
  <c r="K145" i="22"/>
  <c r="M145" i="22"/>
  <c r="K143" i="22"/>
  <c r="M143" i="22"/>
  <c r="K137" i="22"/>
  <c r="M137" i="22"/>
  <c r="K136" i="22"/>
  <c r="M136" i="22"/>
  <c r="K142" i="22"/>
  <c r="M142" i="22"/>
  <c r="K141" i="22"/>
  <c r="M141" i="22"/>
  <c r="K140" i="22"/>
  <c r="M140" i="22"/>
  <c r="K139" i="22"/>
  <c r="M139" i="22"/>
  <c r="K138" i="22"/>
  <c r="M138" i="22"/>
  <c r="K135" i="22"/>
  <c r="M135" i="22"/>
  <c r="K155" i="22"/>
  <c r="M155" i="22"/>
  <c r="K154" i="22"/>
  <c r="M154" i="22"/>
  <c r="K153" i="22"/>
  <c r="M153" i="22"/>
  <c r="K152" i="22"/>
  <c r="M152" i="22"/>
  <c r="K149" i="22"/>
  <c r="M149" i="22"/>
  <c r="K163" i="22"/>
  <c r="M163" i="22"/>
  <c r="N163" i="22"/>
  <c r="K162" i="22"/>
  <c r="M162" i="22"/>
  <c r="K161" i="22"/>
  <c r="M161" i="22"/>
  <c r="K164" i="22"/>
  <c r="M164" i="22"/>
  <c r="K168" i="22"/>
  <c r="M168" i="22"/>
  <c r="K151" i="22"/>
  <c r="M151" i="22"/>
  <c r="K150" i="22"/>
  <c r="M150" i="22"/>
  <c r="K158" i="22"/>
  <c r="M158" i="22"/>
  <c r="K157" i="22"/>
  <c r="M157" i="22"/>
  <c r="K156" i="22"/>
  <c r="M156" i="22"/>
  <c r="K167" i="22"/>
  <c r="M167" i="22"/>
  <c r="K166" i="22"/>
  <c r="M166" i="22"/>
  <c r="K165" i="22"/>
  <c r="M165" i="22"/>
  <c r="K160" i="22"/>
  <c r="M160" i="22"/>
  <c r="K159" i="22"/>
  <c r="M159" i="22"/>
  <c r="K148" i="22"/>
  <c r="M148" i="22"/>
  <c r="K62" i="22"/>
  <c r="M62" i="22"/>
  <c r="K61" i="22"/>
  <c r="M61" i="22"/>
  <c r="K60" i="22"/>
  <c r="M60" i="22"/>
  <c r="K23" i="22"/>
  <c r="M23" i="22"/>
  <c r="K22" i="22"/>
  <c r="M22" i="22"/>
  <c r="K19" i="22"/>
  <c r="M19" i="22"/>
  <c r="K24" i="22"/>
  <c r="M24" i="22"/>
  <c r="K20" i="22"/>
  <c r="M20" i="22"/>
  <c r="K21" i="22"/>
  <c r="M21" i="22"/>
  <c r="K118" i="22"/>
  <c r="M118" i="22"/>
  <c r="K119" i="22"/>
  <c r="M119" i="22"/>
  <c r="K120" i="22"/>
  <c r="M120" i="22"/>
  <c r="K121" i="22"/>
  <c r="M121" i="22"/>
  <c r="K222" i="22"/>
  <c r="M222" i="22"/>
  <c r="K26" i="22"/>
  <c r="M26" i="22"/>
  <c r="K27" i="22"/>
  <c r="M27" i="22"/>
  <c r="K28" i="22"/>
  <c r="M28" i="22"/>
  <c r="K29" i="22"/>
  <c r="M29" i="22"/>
  <c r="K31" i="22"/>
  <c r="M31" i="22"/>
  <c r="K30" i="22"/>
  <c r="M30" i="22"/>
  <c r="K32" i="22"/>
  <c r="M32" i="22"/>
  <c r="K34" i="22"/>
  <c r="M34" i="22"/>
  <c r="K33" i="22"/>
  <c r="M33" i="22"/>
  <c r="K130" i="22"/>
  <c r="M130" i="22"/>
  <c r="K129" i="22"/>
  <c r="M129" i="22"/>
  <c r="K127" i="22"/>
  <c r="M127" i="22"/>
  <c r="K125" i="22"/>
  <c r="M125" i="22"/>
  <c r="K123" i="22"/>
  <c r="M123" i="22"/>
  <c r="K124" i="22"/>
  <c r="M124" i="22"/>
  <c r="K128" i="22"/>
  <c r="M128" i="22"/>
  <c r="K126" i="22"/>
  <c r="M126" i="22"/>
  <c r="K171" i="22"/>
  <c r="M171" i="22"/>
  <c r="K174" i="22"/>
  <c r="M174" i="22"/>
  <c r="K173" i="22"/>
  <c r="M173" i="22"/>
  <c r="K175" i="22"/>
  <c r="M175" i="22"/>
  <c r="K176" i="22"/>
  <c r="M176" i="22"/>
  <c r="K172" i="22"/>
  <c r="M172" i="22"/>
  <c r="K170" i="22"/>
  <c r="M170" i="22"/>
  <c r="K177" i="22"/>
  <c r="M177" i="22"/>
  <c r="K178" i="22"/>
  <c r="M178" i="22"/>
  <c r="K179" i="22"/>
  <c r="M179" i="22"/>
  <c r="K214" i="22"/>
  <c r="M214" i="22"/>
  <c r="K213" i="22"/>
  <c r="M213" i="22"/>
  <c r="K212" i="22"/>
  <c r="M212" i="22"/>
  <c r="K211" i="22"/>
  <c r="M211" i="22"/>
  <c r="K210" i="22"/>
  <c r="M210" i="22"/>
  <c r="K58" i="22"/>
  <c r="M58" i="22"/>
  <c r="K57" i="22"/>
  <c r="M57" i="22"/>
  <c r="K56" i="22"/>
  <c r="M56" i="22"/>
  <c r="K55" i="22"/>
  <c r="M55" i="22"/>
  <c r="K54" i="22"/>
  <c r="M54" i="22"/>
  <c r="K53" i="22"/>
  <c r="M53" i="22"/>
  <c r="K52" i="22"/>
  <c r="M52" i="22"/>
  <c r="K51" i="22"/>
  <c r="M51" i="22"/>
  <c r="K50" i="22"/>
  <c r="M50" i="22"/>
  <c r="K49" i="22"/>
  <c r="M49" i="22"/>
  <c r="K48" i="22"/>
  <c r="M48" i="22"/>
  <c r="K47" i="22"/>
  <c r="M47" i="22"/>
  <c r="K46" i="22"/>
  <c r="M46" i="22"/>
  <c r="K45" i="22"/>
  <c r="M45" i="22"/>
  <c r="K44" i="22"/>
  <c r="M44" i="22"/>
  <c r="K43" i="22"/>
  <c r="M43" i="22"/>
  <c r="K220" i="22"/>
  <c r="M220" i="22"/>
  <c r="K219" i="22"/>
  <c r="M219" i="22"/>
  <c r="K218" i="22"/>
  <c r="M218" i="22"/>
  <c r="K217" i="22"/>
  <c r="M217" i="22"/>
  <c r="K216" i="22"/>
  <c r="M216" i="22"/>
  <c r="K13" i="22"/>
  <c r="M13" i="22"/>
  <c r="K12" i="22"/>
  <c r="M12" i="22"/>
  <c r="K14" i="22"/>
  <c r="M14" i="22"/>
  <c r="K15" i="22"/>
  <c r="M15" i="22"/>
  <c r="K17" i="22"/>
  <c r="M17" i="22"/>
  <c r="K16" i="22"/>
  <c r="M16" i="22"/>
  <c r="K36" i="22"/>
  <c r="M36" i="22"/>
  <c r="K37" i="22"/>
  <c r="M37" i="22"/>
  <c r="K38" i="22"/>
  <c r="M38" i="22"/>
  <c r="K39" i="22"/>
  <c r="M39" i="22"/>
  <c r="K40" i="22"/>
  <c r="M40" i="22"/>
  <c r="K41" i="22"/>
  <c r="M41" i="22"/>
  <c r="K91" i="22"/>
  <c r="M91" i="22"/>
  <c r="K90" i="22"/>
  <c r="M90" i="22"/>
  <c r="K89" i="22"/>
  <c r="M89" i="22"/>
  <c r="K88" i="22"/>
  <c r="M88" i="22"/>
  <c r="K87" i="22"/>
  <c r="M87" i="22"/>
  <c r="K86" i="22"/>
  <c r="M86" i="22"/>
  <c r="K85" i="22"/>
  <c r="M85" i="22"/>
  <c r="K84" i="22"/>
  <c r="M84" i="22"/>
  <c r="K83" i="22"/>
  <c r="M83" i="22"/>
  <c r="K82" i="22"/>
  <c r="M82" i="22"/>
  <c r="K81" i="22"/>
  <c r="M81" i="22"/>
  <c r="K80" i="22"/>
  <c r="M80" i="22"/>
  <c r="K79" i="22"/>
  <c r="M79" i="22"/>
  <c r="K78" i="22"/>
  <c r="M78" i="22"/>
  <c r="K77" i="22"/>
  <c r="M77" i="22"/>
  <c r="K76" i="22"/>
  <c r="M76" i="22"/>
  <c r="K67" i="22"/>
  <c r="M67" i="22"/>
  <c r="K74" i="22"/>
  <c r="M74" i="22"/>
  <c r="K72" i="22"/>
  <c r="M72" i="22"/>
  <c r="K68" i="22"/>
  <c r="M68" i="22"/>
  <c r="K69" i="22"/>
  <c r="M69" i="22"/>
  <c r="K73" i="22"/>
  <c r="M73" i="22"/>
  <c r="K71" i="22"/>
  <c r="M71" i="22"/>
  <c r="K70" i="22"/>
  <c r="M70" i="22"/>
  <c r="K9" i="22"/>
  <c r="M9" i="22"/>
  <c r="K7" i="22"/>
  <c r="M7" i="22"/>
  <c r="K10" i="22"/>
  <c r="M10" i="22"/>
  <c r="K5" i="22"/>
  <c r="M5" i="22"/>
  <c r="K6" i="22"/>
  <c r="M6" i="22"/>
  <c r="G78" i="24" l="1"/>
  <c r="Z78" i="24"/>
  <c r="F155" i="24"/>
  <c r="G155" i="26" s="1"/>
  <c r="F212" i="24"/>
  <c r="G212" i="26" s="1"/>
  <c r="E26" i="23"/>
  <c r="E29" i="23"/>
  <c r="G190" i="26"/>
  <c r="F190" i="25"/>
  <c r="E24" i="23"/>
  <c r="E28" i="23"/>
  <c r="G188" i="26"/>
  <c r="F188" i="25"/>
  <c r="F218" i="24"/>
  <c r="G218" i="26" s="1"/>
  <c r="F217" i="24"/>
  <c r="G217" i="26" s="1"/>
  <c r="F69" i="24"/>
  <c r="G69" i="26" s="1"/>
  <c r="F99" i="24"/>
  <c r="F99" i="25" s="1"/>
  <c r="F137" i="24"/>
  <c r="G137" i="26" s="1"/>
  <c r="F80" i="24"/>
  <c r="G80" i="26" s="1"/>
  <c r="F80" i="26" s="1"/>
  <c r="F17" i="24"/>
  <c r="G17" i="26" s="1"/>
  <c r="F17" i="26" s="1"/>
  <c r="F47" i="24"/>
  <c r="G47" i="26" s="1"/>
  <c r="F47" i="26" s="1"/>
  <c r="F70" i="24"/>
  <c r="G70" i="26" s="1"/>
  <c r="F87" i="24"/>
  <c r="G98" i="24"/>
  <c r="H98" i="24" s="1"/>
  <c r="F98" i="24"/>
  <c r="G98" i="26" s="1"/>
  <c r="F98" i="26" s="1"/>
  <c r="F97" i="24"/>
  <c r="G97" i="26" s="1"/>
  <c r="F97" i="26" s="1"/>
  <c r="H96" i="26"/>
  <c r="G96" i="25"/>
  <c r="J96" i="24"/>
  <c r="I96" i="24"/>
  <c r="H96" i="24"/>
  <c r="G96" i="26"/>
  <c r="F96" i="26" s="1"/>
  <c r="F96" i="25"/>
  <c r="H95" i="26"/>
  <c r="G95" i="25"/>
  <c r="J95" i="24"/>
  <c r="I95" i="24"/>
  <c r="H95" i="24"/>
  <c r="G95" i="26"/>
  <c r="F95" i="26" s="1"/>
  <c r="F95" i="25"/>
  <c r="H94" i="26"/>
  <c r="G94" i="25"/>
  <c r="J94" i="24"/>
  <c r="I94" i="24"/>
  <c r="H94" i="24"/>
  <c r="G94" i="26"/>
  <c r="F94" i="26" s="1"/>
  <c r="F94" i="25"/>
  <c r="H72" i="26"/>
  <c r="G72" i="25"/>
  <c r="G72" i="26"/>
  <c r="F72" i="25"/>
  <c r="J72" i="24"/>
  <c r="I72" i="24"/>
  <c r="H72" i="24"/>
  <c r="H160" i="25"/>
  <c r="H82" i="25"/>
  <c r="K165" i="26"/>
  <c r="F98" i="25"/>
  <c r="J98" i="24"/>
  <c r="K98" i="26" s="1"/>
  <c r="G98" i="25"/>
  <c r="H98" i="26"/>
  <c r="I47" i="25"/>
  <c r="J166" i="25"/>
  <c r="I98" i="24"/>
  <c r="I98" i="25" s="1"/>
  <c r="F137" i="25"/>
  <c r="F97" i="25"/>
  <c r="J49" i="25"/>
  <c r="G99" i="26"/>
  <c r="F99" i="26" s="1"/>
  <c r="G93" i="26"/>
  <c r="F93" i="26" s="1"/>
  <c r="F47" i="25"/>
  <c r="H45" i="25"/>
  <c r="I69" i="25"/>
  <c r="G91" i="25"/>
  <c r="H91" i="26"/>
  <c r="G44" i="25"/>
  <c r="I91" i="25"/>
  <c r="H44" i="26"/>
  <c r="H70" i="25"/>
  <c r="H44" i="25"/>
  <c r="J91" i="26"/>
  <c r="J130" i="26"/>
  <c r="I127" i="25"/>
  <c r="I17" i="25"/>
  <c r="J18" i="26"/>
  <c r="F70" i="25"/>
  <c r="I165" i="25"/>
  <c r="I35" i="26"/>
  <c r="I70" i="25"/>
  <c r="J44" i="24"/>
  <c r="K44" i="26" s="1"/>
  <c r="J91" i="24"/>
  <c r="K91" i="26" s="1"/>
  <c r="H47" i="25"/>
  <c r="J141" i="24"/>
  <c r="K141" i="26" s="1"/>
  <c r="I44" i="24"/>
  <c r="J44" i="26" s="1"/>
  <c r="I40" i="26"/>
  <c r="J82" i="25"/>
  <c r="K47" i="26"/>
  <c r="I82" i="25"/>
  <c r="H130" i="25"/>
  <c r="H76" i="24"/>
  <c r="J76" i="24"/>
  <c r="G217" i="25"/>
  <c r="F69" i="25"/>
  <c r="I147" i="24"/>
  <c r="J147" i="26" s="1"/>
  <c r="G9" i="25"/>
  <c r="F8" i="25"/>
  <c r="G8" i="26"/>
  <c r="F8" i="26" s="1"/>
  <c r="J80" i="25"/>
  <c r="I80" i="25"/>
  <c r="H88" i="26"/>
  <c r="G88" i="25"/>
  <c r="J88" i="24"/>
  <c r="I88" i="24"/>
  <c r="H88" i="24"/>
  <c r="I217" i="26"/>
  <c r="H217" i="25"/>
  <c r="J217" i="26"/>
  <c r="I217" i="25"/>
  <c r="K217" i="26"/>
  <c r="J217" i="25"/>
  <c r="H141" i="24"/>
  <c r="I141" i="26" s="1"/>
  <c r="I162" i="24"/>
  <c r="J162" i="26" s="1"/>
  <c r="G141" i="25"/>
  <c r="J127" i="26"/>
  <c r="I141" i="24"/>
  <c r="J141" i="26" s="1"/>
  <c r="K93" i="26"/>
  <c r="G61" i="25"/>
  <c r="J35" i="25"/>
  <c r="H18" i="25"/>
  <c r="G162" i="25"/>
  <c r="G65" i="25"/>
  <c r="H162" i="26"/>
  <c r="J17" i="25"/>
  <c r="I103" i="25"/>
  <c r="H91" i="24"/>
  <c r="H91" i="25" s="1"/>
  <c r="K127" i="26"/>
  <c r="H29" i="25"/>
  <c r="I76" i="25"/>
  <c r="I49" i="25"/>
  <c r="G89" i="25"/>
  <c r="H89" i="26"/>
  <c r="H80" i="25"/>
  <c r="H49" i="25"/>
  <c r="F17" i="25"/>
  <c r="I97" i="24"/>
  <c r="J97" i="26" s="1"/>
  <c r="I29" i="25"/>
  <c r="I89" i="24"/>
  <c r="I89" i="25" s="1"/>
  <c r="I133" i="26"/>
  <c r="I143" i="24"/>
  <c r="J143" i="26" s="1"/>
  <c r="G93" i="25"/>
  <c r="J40" i="25"/>
  <c r="F80" i="25"/>
  <c r="G39" i="25"/>
  <c r="J48" i="24"/>
  <c r="I48" i="24"/>
  <c r="H48" i="24"/>
  <c r="G5" i="26"/>
  <c r="F5" i="26" s="1"/>
  <c r="H165" i="25"/>
  <c r="H143" i="26"/>
  <c r="I17" i="26"/>
  <c r="F212" i="25"/>
  <c r="H143" i="24"/>
  <c r="I143" i="26" s="1"/>
  <c r="J143" i="24"/>
  <c r="K143" i="26" s="1"/>
  <c r="H93" i="26"/>
  <c r="J69" i="25"/>
  <c r="J155" i="26"/>
  <c r="I40" i="25"/>
  <c r="H48" i="26"/>
  <c r="F5" i="25"/>
  <c r="H89" i="24"/>
  <c r="H89" i="25" s="1"/>
  <c r="H93" i="24"/>
  <c r="I93" i="26" s="1"/>
  <c r="G48" i="25"/>
  <c r="H155" i="25"/>
  <c r="G34" i="25"/>
  <c r="H150" i="24"/>
  <c r="I150" i="26" s="1"/>
  <c r="F155" i="25"/>
  <c r="K110" i="26"/>
  <c r="I18" i="23"/>
  <c r="G52" i="25"/>
  <c r="G28" i="25"/>
  <c r="J147" i="24"/>
  <c r="K147" i="26" s="1"/>
  <c r="I93" i="24"/>
  <c r="J93" i="26" s="1"/>
  <c r="I45" i="25"/>
  <c r="H27" i="23"/>
  <c r="H30" i="23"/>
  <c r="F217" i="25"/>
  <c r="J166" i="26"/>
  <c r="J155" i="25"/>
  <c r="H92" i="26"/>
  <c r="G97" i="25"/>
  <c r="F218" i="25"/>
  <c r="I150" i="24"/>
  <c r="J150" i="26" s="1"/>
  <c r="H97" i="26"/>
  <c r="J150" i="24"/>
  <c r="K150" i="26" s="1"/>
  <c r="D14" i="28"/>
  <c r="E14" i="28" s="1"/>
  <c r="E11" i="28" s="1"/>
  <c r="D24" i="28"/>
  <c r="E24" i="28" s="1"/>
  <c r="E19" i="28" s="1"/>
  <c r="D19" i="28" s="1"/>
  <c r="J97" i="24"/>
  <c r="J97" i="25" s="1"/>
  <c r="J136" i="25"/>
  <c r="G27" i="23"/>
  <c r="G30" i="23"/>
  <c r="I27" i="23"/>
  <c r="I30" i="23"/>
  <c r="H166" i="25"/>
  <c r="G147" i="25"/>
  <c r="J130" i="25"/>
  <c r="H103" i="25"/>
  <c r="G21" i="25"/>
  <c r="G150" i="25"/>
  <c r="J28" i="24"/>
  <c r="I28" i="24"/>
  <c r="H28" i="24"/>
  <c r="H147" i="24"/>
  <c r="H147" i="25" s="1"/>
  <c r="J39" i="24"/>
  <c r="I39" i="24"/>
  <c r="H39" i="24"/>
  <c r="G165" i="26"/>
  <c r="F165" i="25"/>
  <c r="H167" i="26"/>
  <c r="G167" i="25"/>
  <c r="J167" i="24"/>
  <c r="I167" i="24"/>
  <c r="H167" i="24"/>
  <c r="I19" i="23"/>
  <c r="H19" i="23"/>
  <c r="G19" i="23"/>
  <c r="G18" i="26"/>
  <c r="F18" i="26" s="1"/>
  <c r="F18" i="25"/>
  <c r="G35" i="26"/>
  <c r="F35" i="26" s="1"/>
  <c r="F35" i="25"/>
  <c r="G29" i="26"/>
  <c r="F29" i="26" s="1"/>
  <c r="F29" i="25"/>
  <c r="H158" i="26"/>
  <c r="G158" i="25"/>
  <c r="J158" i="24"/>
  <c r="I158" i="24"/>
  <c r="H158" i="24"/>
  <c r="G127" i="26"/>
  <c r="F127" i="25"/>
  <c r="H151" i="26"/>
  <c r="G151" i="25"/>
  <c r="J151" i="24"/>
  <c r="I151" i="24"/>
  <c r="H151" i="24"/>
  <c r="H84" i="26"/>
  <c r="G84" i="25"/>
  <c r="J84" i="24"/>
  <c r="I84" i="24"/>
  <c r="H84" i="24"/>
  <c r="G49" i="26"/>
  <c r="F49" i="26" s="1"/>
  <c r="F49" i="25"/>
  <c r="H27" i="26"/>
  <c r="G27" i="25"/>
  <c r="J27" i="24"/>
  <c r="I27" i="24"/>
  <c r="H27" i="24"/>
  <c r="H10" i="26"/>
  <c r="G10" i="25"/>
  <c r="J10" i="24"/>
  <c r="I10" i="24"/>
  <c r="H10" i="24"/>
  <c r="H63" i="26"/>
  <c r="H46" i="26"/>
  <c r="G46" i="25"/>
  <c r="J46" i="24"/>
  <c r="I46" i="24"/>
  <c r="H46" i="24"/>
  <c r="H152" i="26"/>
  <c r="J14" i="24"/>
  <c r="G82" i="26"/>
  <c r="F82" i="26" s="1"/>
  <c r="F82" i="25"/>
  <c r="G45" i="26"/>
  <c r="F45" i="26" s="1"/>
  <c r="F45" i="25"/>
  <c r="J60" i="24"/>
  <c r="G40" i="26"/>
  <c r="F40" i="26" s="1"/>
  <c r="J34" i="24"/>
  <c r="I34" i="24"/>
  <c r="H34" i="24"/>
  <c r="J21" i="24"/>
  <c r="K21" i="26" s="1"/>
  <c r="I21" i="24"/>
  <c r="J21" i="26" s="1"/>
  <c r="H21" i="24"/>
  <c r="I21" i="26" s="1"/>
  <c r="J9" i="24"/>
  <c r="I9" i="24"/>
  <c r="H9" i="24"/>
  <c r="J135" i="24"/>
  <c r="I135" i="24"/>
  <c r="I133" i="24"/>
  <c r="J133" i="24"/>
  <c r="G4" i="23"/>
  <c r="H4" i="23"/>
  <c r="I4" i="23"/>
  <c r="I3" i="23"/>
  <c r="H3" i="23"/>
  <c r="G3" i="23"/>
  <c r="J110" i="25"/>
  <c r="I92" i="24"/>
  <c r="J92" i="24"/>
  <c r="H92" i="24"/>
  <c r="G146" i="26"/>
  <c r="J110" i="26"/>
  <c r="I110" i="25"/>
  <c r="I110" i="26"/>
  <c r="H110" i="25"/>
  <c r="G16" i="26"/>
  <c r="F16" i="26" s="1"/>
  <c r="F16" i="25"/>
  <c r="I16" i="26"/>
  <c r="H16" i="25"/>
  <c r="J16" i="26"/>
  <c r="I16" i="25"/>
  <c r="K16" i="26"/>
  <c r="J16" i="25"/>
  <c r="G171" i="26"/>
  <c r="F171" i="25"/>
  <c r="H171" i="26"/>
  <c r="G171" i="25"/>
  <c r="G170" i="26"/>
  <c r="F170" i="25"/>
  <c r="H170" i="26"/>
  <c r="G170" i="25"/>
  <c r="G169" i="26"/>
  <c r="F169" i="25"/>
  <c r="H169" i="26"/>
  <c r="G169" i="25"/>
  <c r="G168" i="26"/>
  <c r="F168" i="25"/>
  <c r="H168" i="26"/>
  <c r="G168" i="25"/>
  <c r="I212" i="26"/>
  <c r="H212" i="25"/>
  <c r="I210" i="26"/>
  <c r="H210" i="25"/>
  <c r="I106" i="26"/>
  <c r="H106" i="25"/>
  <c r="I102" i="26"/>
  <c r="H102" i="25"/>
  <c r="I156" i="26"/>
  <c r="H156" i="25"/>
  <c r="I145" i="26"/>
  <c r="H145" i="25"/>
  <c r="I98" i="26"/>
  <c r="H98" i="25"/>
  <c r="I215" i="26"/>
  <c r="H215" i="25"/>
  <c r="J212" i="26"/>
  <c r="I212" i="25"/>
  <c r="J210" i="26"/>
  <c r="I210" i="25"/>
  <c r="G163" i="26"/>
  <c r="F163" i="25"/>
  <c r="G161" i="26"/>
  <c r="F161" i="25"/>
  <c r="K156" i="26"/>
  <c r="J156" i="25"/>
  <c r="K145" i="26"/>
  <c r="J145" i="25"/>
  <c r="J106" i="26"/>
  <c r="I106" i="25"/>
  <c r="J102" i="26"/>
  <c r="I102" i="25"/>
  <c r="G81" i="26"/>
  <c r="F81" i="26" s="1"/>
  <c r="F81" i="25"/>
  <c r="G79" i="26"/>
  <c r="F79" i="26" s="1"/>
  <c r="F79" i="25"/>
  <c r="G77" i="26"/>
  <c r="F77" i="26" s="1"/>
  <c r="F77" i="25"/>
  <c r="G75" i="26"/>
  <c r="F75" i="26" s="1"/>
  <c r="F75" i="25"/>
  <c r="G62" i="26"/>
  <c r="F62" i="26" s="1"/>
  <c r="F62" i="25"/>
  <c r="G58" i="26"/>
  <c r="F58" i="26" s="1"/>
  <c r="F58" i="25"/>
  <c r="G54" i="26"/>
  <c r="F54" i="26" s="1"/>
  <c r="F54" i="25"/>
  <c r="G19" i="26"/>
  <c r="F19" i="26" s="1"/>
  <c r="F19" i="25"/>
  <c r="I31" i="26"/>
  <c r="H31" i="25"/>
  <c r="G213" i="26"/>
  <c r="F213" i="25"/>
  <c r="G211" i="26"/>
  <c r="F211" i="25"/>
  <c r="J68" i="26"/>
  <c r="I68" i="25"/>
  <c r="J38" i="26"/>
  <c r="I38" i="25"/>
  <c r="J33" i="26"/>
  <c r="I33" i="25"/>
  <c r="J31" i="26"/>
  <c r="I31" i="25"/>
  <c r="I68" i="26"/>
  <c r="H68" i="25"/>
  <c r="I38" i="26"/>
  <c r="H38" i="25"/>
  <c r="I33" i="26"/>
  <c r="H33" i="25"/>
  <c r="J24" i="26"/>
  <c r="I24" i="25"/>
  <c r="J26" i="26"/>
  <c r="I26" i="25"/>
  <c r="I26" i="26"/>
  <c r="H26" i="25"/>
  <c r="I24" i="26"/>
  <c r="H24" i="25"/>
  <c r="K211" i="26"/>
  <c r="J211" i="25"/>
  <c r="I211" i="26"/>
  <c r="H211" i="25"/>
  <c r="J211" i="26"/>
  <c r="I211" i="25"/>
  <c r="I161" i="26"/>
  <c r="H161" i="25"/>
  <c r="J161" i="26"/>
  <c r="I161" i="25"/>
  <c r="K161" i="26"/>
  <c r="J161" i="25"/>
  <c r="I75" i="26"/>
  <c r="H75" i="25"/>
  <c r="J75" i="26"/>
  <c r="I75" i="25"/>
  <c r="K75" i="26"/>
  <c r="J75" i="25"/>
  <c r="I81" i="26"/>
  <c r="H81" i="25"/>
  <c r="J81" i="26"/>
  <c r="I81" i="25"/>
  <c r="K81" i="26"/>
  <c r="J81" i="25"/>
  <c r="K213" i="26"/>
  <c r="J213" i="25"/>
  <c r="J213" i="26"/>
  <c r="I213" i="25"/>
  <c r="I213" i="26"/>
  <c r="H213" i="25"/>
  <c r="I79" i="26"/>
  <c r="H79" i="25"/>
  <c r="J79" i="26"/>
  <c r="I79" i="25"/>
  <c r="K79" i="26"/>
  <c r="J79" i="25"/>
  <c r="I19" i="26"/>
  <c r="H19" i="25"/>
  <c r="J19" i="26"/>
  <c r="I19" i="25"/>
  <c r="K19" i="26"/>
  <c r="J19" i="25"/>
  <c r="I163" i="26"/>
  <c r="H163" i="25"/>
  <c r="J163" i="26"/>
  <c r="I163" i="25"/>
  <c r="K163" i="26"/>
  <c r="J163" i="25"/>
  <c r="I77" i="26"/>
  <c r="H77" i="25"/>
  <c r="J77" i="26"/>
  <c r="I77" i="25"/>
  <c r="K77" i="26"/>
  <c r="J77" i="25"/>
  <c r="I187" i="26"/>
  <c r="H187" i="25"/>
  <c r="J187" i="26"/>
  <c r="I187" i="25"/>
  <c r="K187" i="26"/>
  <c r="J187" i="25"/>
  <c r="K132" i="26"/>
  <c r="J132" i="25"/>
  <c r="J107" i="26"/>
  <c r="I107" i="25"/>
  <c r="G68" i="26"/>
  <c r="F68" i="25"/>
  <c r="G64" i="26"/>
  <c r="F64" i="26" s="1"/>
  <c r="F64" i="25"/>
  <c r="G59" i="26"/>
  <c r="F59" i="26" s="1"/>
  <c r="F59" i="25"/>
  <c r="G31" i="26"/>
  <c r="F31" i="26" s="1"/>
  <c r="F31" i="25"/>
  <c r="I162" i="26"/>
  <c r="H162" i="25"/>
  <c r="J132" i="26"/>
  <c r="I132" i="25"/>
  <c r="I107" i="26"/>
  <c r="H107" i="25"/>
  <c r="I97" i="26"/>
  <c r="H97" i="25"/>
  <c r="K138" i="26"/>
  <c r="J138" i="25"/>
  <c r="J136" i="26"/>
  <c r="I136" i="25"/>
  <c r="H57" i="26"/>
  <c r="G57" i="25"/>
  <c r="J138" i="26"/>
  <c r="I138" i="25"/>
  <c r="J99" i="26"/>
  <c r="I99" i="25"/>
  <c r="J87" i="26"/>
  <c r="I87" i="25"/>
  <c r="G33" i="26"/>
  <c r="F33" i="26" s="1"/>
  <c r="F33" i="25"/>
  <c r="J144" i="26"/>
  <c r="I144" i="25"/>
  <c r="I99" i="26"/>
  <c r="H99" i="25"/>
  <c r="I87" i="26"/>
  <c r="H87" i="25"/>
  <c r="I144" i="26"/>
  <c r="H144" i="25"/>
  <c r="G187" i="26"/>
  <c r="F187" i="25"/>
  <c r="H148" i="26"/>
  <c r="G148" i="25"/>
  <c r="H142" i="26"/>
  <c r="G142" i="25"/>
  <c r="H36" i="26"/>
  <c r="G36" i="25"/>
  <c r="H25" i="24"/>
  <c r="H25" i="26"/>
  <c r="G25" i="25"/>
  <c r="J24" i="24"/>
  <c r="H24" i="26"/>
  <c r="G24" i="25"/>
  <c r="I146" i="26"/>
  <c r="H146" i="25"/>
  <c r="I137" i="26"/>
  <c r="H137" i="25"/>
  <c r="G210" i="26"/>
  <c r="F210" i="25"/>
  <c r="J146" i="26"/>
  <c r="I146" i="25"/>
  <c r="J137" i="26"/>
  <c r="I137" i="25"/>
  <c r="G55" i="26"/>
  <c r="F55" i="26" s="1"/>
  <c r="F55" i="25"/>
  <c r="G32" i="26"/>
  <c r="F32" i="26" s="1"/>
  <c r="F32" i="25"/>
  <c r="I145" i="24"/>
  <c r="H145" i="26"/>
  <c r="G145" i="25"/>
  <c r="K139" i="26"/>
  <c r="J139" i="25"/>
  <c r="K134" i="26"/>
  <c r="J134" i="25"/>
  <c r="H53" i="26"/>
  <c r="G53" i="25"/>
  <c r="G153" i="26"/>
  <c r="F153" i="25"/>
  <c r="J139" i="26"/>
  <c r="I139" i="25"/>
  <c r="J134" i="26"/>
  <c r="I134" i="25"/>
  <c r="J105" i="26"/>
  <c r="I105" i="25"/>
  <c r="J32" i="26"/>
  <c r="I32" i="25"/>
  <c r="K32" i="26"/>
  <c r="J32" i="25"/>
  <c r="I32" i="26"/>
  <c r="H32" i="25"/>
  <c r="I153" i="26"/>
  <c r="H153" i="25"/>
  <c r="J153" i="26"/>
  <c r="I153" i="25"/>
  <c r="K153" i="26"/>
  <c r="J153" i="25"/>
  <c r="J215" i="26"/>
  <c r="I215" i="25"/>
  <c r="K212" i="26"/>
  <c r="J212" i="25"/>
  <c r="K210" i="26"/>
  <c r="J210" i="25"/>
  <c r="I207" i="24"/>
  <c r="I207" i="26"/>
  <c r="H207" i="25"/>
  <c r="I206" i="24"/>
  <c r="I206" i="26"/>
  <c r="H206" i="25"/>
  <c r="I205" i="24"/>
  <c r="I205" i="26"/>
  <c r="H205" i="25"/>
  <c r="I204" i="24"/>
  <c r="I204" i="26"/>
  <c r="H204" i="25"/>
  <c r="I203" i="24"/>
  <c r="I203" i="26"/>
  <c r="H203" i="25"/>
  <c r="I202" i="24"/>
  <c r="I202" i="26"/>
  <c r="H202" i="25"/>
  <c r="I201" i="24"/>
  <c r="I201" i="26"/>
  <c r="H201" i="25"/>
  <c r="I200" i="24"/>
  <c r="I200" i="26"/>
  <c r="H200" i="25"/>
  <c r="I199" i="24"/>
  <c r="I199" i="26"/>
  <c r="H199" i="25"/>
  <c r="I198" i="24"/>
  <c r="I198" i="26"/>
  <c r="H198" i="25"/>
  <c r="I197" i="24"/>
  <c r="I197" i="26"/>
  <c r="H197" i="25"/>
  <c r="I196" i="24"/>
  <c r="I196" i="26"/>
  <c r="H196" i="25"/>
  <c r="I195" i="24"/>
  <c r="I195" i="26"/>
  <c r="H195" i="25"/>
  <c r="I194" i="24"/>
  <c r="I194" i="26"/>
  <c r="H194" i="25"/>
  <c r="I193" i="24"/>
  <c r="I193" i="26"/>
  <c r="H193" i="25"/>
  <c r="I192" i="24"/>
  <c r="I192" i="26"/>
  <c r="H192" i="25"/>
  <c r="I183" i="26"/>
  <c r="H183" i="25"/>
  <c r="K162" i="26"/>
  <c r="J162" i="25"/>
  <c r="J156" i="26"/>
  <c r="I156" i="25"/>
  <c r="K146" i="26"/>
  <c r="J146" i="25"/>
  <c r="K144" i="26"/>
  <c r="J144" i="25"/>
  <c r="I139" i="26"/>
  <c r="H139" i="25"/>
  <c r="I138" i="26"/>
  <c r="H138" i="25"/>
  <c r="K137" i="26"/>
  <c r="J137" i="25"/>
  <c r="I136" i="26"/>
  <c r="H136" i="25"/>
  <c r="I135" i="26"/>
  <c r="H135" i="25"/>
  <c r="I134" i="26"/>
  <c r="H134" i="25"/>
  <c r="I132" i="26"/>
  <c r="H132" i="25"/>
  <c r="K107" i="26"/>
  <c r="J107" i="25"/>
  <c r="K106" i="26"/>
  <c r="J106" i="25"/>
  <c r="K105" i="26"/>
  <c r="J105" i="25"/>
  <c r="K102" i="26"/>
  <c r="J102" i="25"/>
  <c r="K99" i="26"/>
  <c r="J99" i="25"/>
  <c r="K89" i="26"/>
  <c r="J89" i="25"/>
  <c r="K87" i="26"/>
  <c r="J87" i="25"/>
  <c r="I69" i="26"/>
  <c r="H69" i="25"/>
  <c r="K68" i="26"/>
  <c r="J68" i="25"/>
  <c r="K38" i="26"/>
  <c r="J38" i="25"/>
  <c r="K33" i="26"/>
  <c r="J33" i="25"/>
  <c r="K31" i="26"/>
  <c r="J31" i="25"/>
  <c r="K26" i="26"/>
  <c r="J26" i="25"/>
  <c r="J148" i="24"/>
  <c r="I148" i="24"/>
  <c r="H148" i="24"/>
  <c r="J142" i="24"/>
  <c r="I142" i="24"/>
  <c r="H142" i="24"/>
  <c r="H36" i="24"/>
  <c r="J36" i="24"/>
  <c r="I36" i="24"/>
  <c r="I25" i="24"/>
  <c r="J25" i="24"/>
  <c r="J171" i="24"/>
  <c r="I171" i="24"/>
  <c r="H171" i="24"/>
  <c r="J170" i="24"/>
  <c r="I170" i="24"/>
  <c r="H170" i="24"/>
  <c r="J169" i="24"/>
  <c r="I169" i="24"/>
  <c r="H169" i="24"/>
  <c r="J168" i="24"/>
  <c r="I168" i="24"/>
  <c r="H168" i="24"/>
  <c r="J65" i="24"/>
  <c r="I65" i="24"/>
  <c r="H65" i="24"/>
  <c r="J64" i="24"/>
  <c r="I64" i="24"/>
  <c r="H64" i="24"/>
  <c r="J62" i="24"/>
  <c r="I62" i="24"/>
  <c r="H62" i="24"/>
  <c r="J61" i="24"/>
  <c r="I61" i="24"/>
  <c r="H61" i="24"/>
  <c r="J59" i="24"/>
  <c r="I59" i="24"/>
  <c r="H59" i="24"/>
  <c r="J58" i="24"/>
  <c r="I58" i="24"/>
  <c r="H58" i="24"/>
  <c r="J57" i="24"/>
  <c r="I57" i="24"/>
  <c r="H57" i="24"/>
  <c r="J56" i="24"/>
  <c r="H56" i="24"/>
  <c r="J55" i="24"/>
  <c r="I55" i="24"/>
  <c r="H55" i="24"/>
  <c r="J54" i="24"/>
  <c r="I54" i="24"/>
  <c r="H54" i="24"/>
  <c r="J53" i="24"/>
  <c r="I53" i="24"/>
  <c r="H53" i="24"/>
  <c r="J52" i="24"/>
  <c r="I52" i="24"/>
  <c r="H52" i="24"/>
  <c r="J51" i="24"/>
  <c r="I51" i="24"/>
  <c r="H51" i="24"/>
  <c r="N191" i="22"/>
  <c r="N190" i="22"/>
  <c r="N183" i="22"/>
  <c r="N189" i="22"/>
  <c r="N188" i="22"/>
  <c r="N187" i="22"/>
  <c r="N186" i="22"/>
  <c r="N185" i="22"/>
  <c r="N184" i="22"/>
  <c r="N182" i="22"/>
  <c r="N65" i="22"/>
  <c r="N64" i="22"/>
  <c r="N132" i="22"/>
  <c r="N134" i="22"/>
  <c r="N133" i="22"/>
  <c r="N146" i="22"/>
  <c r="N145" i="22"/>
  <c r="N143" i="22"/>
  <c r="N137" i="22"/>
  <c r="N136" i="22"/>
  <c r="N142" i="22"/>
  <c r="N141" i="22"/>
  <c r="N140" i="22"/>
  <c r="N139" i="22"/>
  <c r="N138" i="22"/>
  <c r="N135" i="22"/>
  <c r="N155" i="22"/>
  <c r="N154" i="22"/>
  <c r="N153" i="22"/>
  <c r="N152" i="22"/>
  <c r="N149" i="22"/>
  <c r="N162" i="22"/>
  <c r="N161" i="22"/>
  <c r="N164" i="22"/>
  <c r="N168" i="22"/>
  <c r="N151" i="22"/>
  <c r="N150" i="22"/>
  <c r="N158" i="22"/>
  <c r="N157" i="22"/>
  <c r="N156" i="22"/>
  <c r="N167" i="22"/>
  <c r="N166" i="22"/>
  <c r="N165" i="22"/>
  <c r="N160" i="22"/>
  <c r="N159" i="22"/>
  <c r="N148" i="22"/>
  <c r="N62" i="22"/>
  <c r="N61" i="22"/>
  <c r="N60" i="22"/>
  <c r="N23" i="22"/>
  <c r="N22" i="22"/>
  <c r="N19" i="22"/>
  <c r="N24" i="22"/>
  <c r="N20" i="22"/>
  <c r="N21" i="22"/>
  <c r="N118" i="22"/>
  <c r="N119" i="22"/>
  <c r="N120" i="22"/>
  <c r="N121" i="22"/>
  <c r="N222" i="22"/>
  <c r="N26" i="22"/>
  <c r="N27" i="22"/>
  <c r="N28" i="22"/>
  <c r="N29" i="22"/>
  <c r="N31" i="22"/>
  <c r="N30" i="22"/>
  <c r="N32" i="22"/>
  <c r="N34" i="22"/>
  <c r="N33" i="22"/>
  <c r="N130" i="22"/>
  <c r="N129" i="22"/>
  <c r="N127" i="22"/>
  <c r="N125" i="22"/>
  <c r="N123" i="22"/>
  <c r="N124" i="22"/>
  <c r="N128" i="22"/>
  <c r="N126" i="22"/>
  <c r="N171" i="22"/>
  <c r="N174" i="22"/>
  <c r="N173" i="22"/>
  <c r="N175" i="22"/>
  <c r="N176" i="22"/>
  <c r="N172" i="22"/>
  <c r="N170" i="22"/>
  <c r="N177" i="22"/>
  <c r="N178" i="22"/>
  <c r="N179" i="22"/>
  <c r="N214" i="22"/>
  <c r="N213" i="22"/>
  <c r="N212" i="22"/>
  <c r="N211" i="22"/>
  <c r="N210" i="22"/>
  <c r="N44" i="22"/>
  <c r="N45" i="22"/>
  <c r="N46" i="22"/>
  <c r="N47" i="22"/>
  <c r="N48" i="22"/>
  <c r="N49" i="22"/>
  <c r="N50" i="22"/>
  <c r="N51" i="22"/>
  <c r="N52" i="22"/>
  <c r="N53" i="22"/>
  <c r="N54" i="22"/>
  <c r="N55" i="22"/>
  <c r="N56" i="22"/>
  <c r="N57" i="22"/>
  <c r="N58" i="22"/>
  <c r="N43" i="22"/>
  <c r="N220" i="22"/>
  <c r="N219" i="22"/>
  <c r="N218" i="22"/>
  <c r="N217" i="22"/>
  <c r="N216" i="22"/>
  <c r="N13" i="22"/>
  <c r="N12" i="22"/>
  <c r="N14" i="22"/>
  <c r="N15" i="22"/>
  <c r="N17" i="22"/>
  <c r="N16" i="22"/>
  <c r="N36" i="22"/>
  <c r="N37" i="22"/>
  <c r="N38" i="22"/>
  <c r="N39" i="22"/>
  <c r="N40" i="22"/>
  <c r="N41" i="22"/>
  <c r="N77" i="22"/>
  <c r="N78" i="22"/>
  <c r="N79" i="22"/>
  <c r="N80" i="22"/>
  <c r="N81" i="22"/>
  <c r="N82" i="22"/>
  <c r="N83" i="22"/>
  <c r="N84" i="22"/>
  <c r="N85" i="22"/>
  <c r="N86" i="22"/>
  <c r="N87" i="22"/>
  <c r="N88" i="22"/>
  <c r="N89" i="22"/>
  <c r="N90" i="22"/>
  <c r="N91" i="22"/>
  <c r="N76" i="22"/>
  <c r="N67" i="22"/>
  <c r="N74" i="22"/>
  <c r="N72" i="22"/>
  <c r="N68" i="22"/>
  <c r="N69" i="22"/>
  <c r="N73" i="22"/>
  <c r="N71" i="22"/>
  <c r="N70" i="22"/>
  <c r="I94" i="26" l="1"/>
  <c r="H94" i="25"/>
  <c r="J94" i="26"/>
  <c r="I94" i="25"/>
  <c r="K94" i="26"/>
  <c r="J94" i="25"/>
  <c r="I95" i="26"/>
  <c r="H95" i="25"/>
  <c r="J95" i="26"/>
  <c r="I95" i="25"/>
  <c r="K95" i="26"/>
  <c r="J95" i="25"/>
  <c r="I96" i="26"/>
  <c r="H96" i="25"/>
  <c r="J96" i="26"/>
  <c r="I96" i="25"/>
  <c r="K96" i="26"/>
  <c r="J96" i="25"/>
  <c r="G87" i="26"/>
  <c r="F87" i="26" s="1"/>
  <c r="F87" i="25"/>
  <c r="I72" i="26"/>
  <c r="H72" i="25"/>
  <c r="J72" i="26"/>
  <c r="I72" i="25"/>
  <c r="K72" i="26"/>
  <c r="J72" i="25"/>
  <c r="J98" i="25"/>
  <c r="J98" i="26"/>
  <c r="I162" i="25"/>
  <c r="H141" i="25"/>
  <c r="J141" i="25"/>
  <c r="F93" i="25"/>
  <c r="I97" i="25"/>
  <c r="J91" i="25"/>
  <c r="I147" i="25"/>
  <c r="I143" i="25"/>
  <c r="J89" i="26"/>
  <c r="I91" i="26"/>
  <c r="J21" i="25"/>
  <c r="I44" i="25"/>
  <c r="J44" i="25"/>
  <c r="I141" i="25"/>
  <c r="K76" i="26"/>
  <c r="J76" i="25"/>
  <c r="I76" i="26"/>
  <c r="H76" i="25"/>
  <c r="I147" i="26"/>
  <c r="I88" i="26"/>
  <c r="H88" i="25"/>
  <c r="J88" i="26"/>
  <c r="I88" i="25"/>
  <c r="K88" i="26"/>
  <c r="J88" i="25"/>
  <c r="H150" i="25"/>
  <c r="F9" i="25"/>
  <c r="G9" i="26"/>
  <c r="F9" i="26" s="1"/>
  <c r="I60" i="24"/>
  <c r="J60" i="26" s="1"/>
  <c r="H21" i="25"/>
  <c r="G152" i="25"/>
  <c r="K97" i="26"/>
  <c r="J8" i="24"/>
  <c r="K8" i="26" s="1"/>
  <c r="J143" i="25"/>
  <c r="H143" i="25"/>
  <c r="G8" i="25"/>
  <c r="I152" i="24"/>
  <c r="I152" i="25" s="1"/>
  <c r="H60" i="24"/>
  <c r="I60" i="26" s="1"/>
  <c r="I8" i="24"/>
  <c r="J8" i="26" s="1"/>
  <c r="H8" i="26"/>
  <c r="K14" i="26"/>
  <c r="J14" i="25"/>
  <c r="I150" i="25"/>
  <c r="F40" i="25"/>
  <c r="K48" i="26"/>
  <c r="J48" i="25"/>
  <c r="G14" i="25"/>
  <c r="J150" i="25"/>
  <c r="I89" i="26"/>
  <c r="H5" i="24"/>
  <c r="I5" i="26" s="1"/>
  <c r="I48" i="26"/>
  <c r="H48" i="25"/>
  <c r="I48" i="25"/>
  <c r="J48" i="26"/>
  <c r="H93" i="25"/>
  <c r="H8" i="24"/>
  <c r="I8" i="26" s="1"/>
  <c r="I21" i="25"/>
  <c r="I5" i="24"/>
  <c r="J5" i="26" s="1"/>
  <c r="I39" i="26"/>
  <c r="H39" i="25"/>
  <c r="J5" i="24"/>
  <c r="K5" i="26" s="1"/>
  <c r="F21" i="25"/>
  <c r="J39" i="26"/>
  <c r="I39" i="25"/>
  <c r="H63" i="24"/>
  <c r="I63" i="26" s="1"/>
  <c r="I93" i="25"/>
  <c r="G5" i="25"/>
  <c r="G21" i="26"/>
  <c r="F21" i="26" s="1"/>
  <c r="J39" i="25"/>
  <c r="K39" i="26"/>
  <c r="I63" i="24"/>
  <c r="I63" i="25" s="1"/>
  <c r="H5" i="26"/>
  <c r="J63" i="24"/>
  <c r="J63" i="25" s="1"/>
  <c r="G63" i="25"/>
  <c r="F34" i="25"/>
  <c r="H28" i="25"/>
  <c r="I28" i="26"/>
  <c r="J147" i="25"/>
  <c r="G34" i="26"/>
  <c r="F34" i="26" s="1"/>
  <c r="J28" i="26"/>
  <c r="I28" i="25"/>
  <c r="K28" i="26"/>
  <c r="J28" i="25"/>
  <c r="I167" i="26"/>
  <c r="H167" i="25"/>
  <c r="J167" i="26"/>
  <c r="I167" i="25"/>
  <c r="K167" i="26"/>
  <c r="J167" i="25"/>
  <c r="I9" i="26"/>
  <c r="H9" i="25"/>
  <c r="J9" i="26"/>
  <c r="I9" i="25"/>
  <c r="K9" i="26"/>
  <c r="J9" i="25"/>
  <c r="I34" i="26"/>
  <c r="H34" i="25"/>
  <c r="J34" i="26"/>
  <c r="I34" i="25"/>
  <c r="K34" i="26"/>
  <c r="J34" i="25"/>
  <c r="H60" i="26"/>
  <c r="G60" i="25"/>
  <c r="J78" i="24"/>
  <c r="G78" i="25"/>
  <c r="H78" i="24"/>
  <c r="I78" i="24"/>
  <c r="H78" i="26"/>
  <c r="G38" i="26"/>
  <c r="F38" i="26" s="1"/>
  <c r="F38" i="25"/>
  <c r="I14" i="24"/>
  <c r="H14" i="24"/>
  <c r="H14" i="26"/>
  <c r="I90" i="24"/>
  <c r="H90" i="26"/>
  <c r="J90" i="24"/>
  <c r="H90" i="24"/>
  <c r="G90" i="25"/>
  <c r="J152" i="24"/>
  <c r="H152" i="24"/>
  <c r="I46" i="26"/>
  <c r="H46" i="25"/>
  <c r="J46" i="26"/>
  <c r="I46" i="25"/>
  <c r="K46" i="26"/>
  <c r="J46" i="25"/>
  <c r="I10" i="26"/>
  <c r="H10" i="25"/>
  <c r="J10" i="26"/>
  <c r="I10" i="25"/>
  <c r="K10" i="26"/>
  <c r="J10" i="25"/>
  <c r="I27" i="26"/>
  <c r="H27" i="25"/>
  <c r="J27" i="26"/>
  <c r="I27" i="25"/>
  <c r="K27" i="26"/>
  <c r="J27" i="25"/>
  <c r="I84" i="26"/>
  <c r="H84" i="25"/>
  <c r="J84" i="26"/>
  <c r="I84" i="25"/>
  <c r="K84" i="26"/>
  <c r="J84" i="25"/>
  <c r="I151" i="26"/>
  <c r="H151" i="25"/>
  <c r="J151" i="26"/>
  <c r="I151" i="25"/>
  <c r="K151" i="26"/>
  <c r="J151" i="25"/>
  <c r="I158" i="26"/>
  <c r="H158" i="25"/>
  <c r="J158" i="26"/>
  <c r="I158" i="25"/>
  <c r="K158" i="26"/>
  <c r="J158" i="25"/>
  <c r="K133" i="26"/>
  <c r="J133" i="25"/>
  <c r="J133" i="26"/>
  <c r="I133" i="25"/>
  <c r="J135" i="26"/>
  <c r="I135" i="25"/>
  <c r="K135" i="26"/>
  <c r="J135" i="25"/>
  <c r="K92" i="26"/>
  <c r="J92" i="25"/>
  <c r="J92" i="26"/>
  <c r="I92" i="25"/>
  <c r="I92" i="26"/>
  <c r="H92" i="25"/>
  <c r="I51" i="26"/>
  <c r="H51" i="25"/>
  <c r="J51" i="26"/>
  <c r="I51" i="25"/>
  <c r="K51" i="26"/>
  <c r="J51" i="25"/>
  <c r="I52" i="26"/>
  <c r="H52" i="25"/>
  <c r="J52" i="26"/>
  <c r="I52" i="25"/>
  <c r="K52" i="26"/>
  <c r="J52" i="25"/>
  <c r="I53" i="26"/>
  <c r="H53" i="25"/>
  <c r="J53" i="26"/>
  <c r="I53" i="25"/>
  <c r="K53" i="26"/>
  <c r="J53" i="25"/>
  <c r="I54" i="26"/>
  <c r="H54" i="25"/>
  <c r="J54" i="26"/>
  <c r="I54" i="25"/>
  <c r="K54" i="26"/>
  <c r="J54" i="25"/>
  <c r="I55" i="26"/>
  <c r="H55" i="25"/>
  <c r="J55" i="26"/>
  <c r="I55" i="25"/>
  <c r="K55" i="26"/>
  <c r="J55" i="25"/>
  <c r="I56" i="26"/>
  <c r="H56" i="25"/>
  <c r="J56" i="26"/>
  <c r="I56" i="25"/>
  <c r="K56" i="26"/>
  <c r="J56" i="25"/>
  <c r="I57" i="26"/>
  <c r="H57" i="25"/>
  <c r="J57" i="26"/>
  <c r="I57" i="25"/>
  <c r="K57" i="26"/>
  <c r="J57" i="25"/>
  <c r="I58" i="26"/>
  <c r="H58" i="25"/>
  <c r="J58" i="26"/>
  <c r="I58" i="25"/>
  <c r="K58" i="26"/>
  <c r="J58" i="25"/>
  <c r="I59" i="26"/>
  <c r="H59" i="25"/>
  <c r="J59" i="26"/>
  <c r="I59" i="25"/>
  <c r="K59" i="26"/>
  <c r="J59" i="25"/>
  <c r="K60" i="26"/>
  <c r="J60" i="25"/>
  <c r="I61" i="26"/>
  <c r="H61" i="25"/>
  <c r="J61" i="26"/>
  <c r="I61" i="25"/>
  <c r="K61" i="26"/>
  <c r="J61" i="25"/>
  <c r="I62" i="26"/>
  <c r="H62" i="25"/>
  <c r="J62" i="26"/>
  <c r="I62" i="25"/>
  <c r="K62" i="26"/>
  <c r="J62" i="25"/>
  <c r="I64" i="26"/>
  <c r="H64" i="25"/>
  <c r="J64" i="26"/>
  <c r="I64" i="25"/>
  <c r="K64" i="26"/>
  <c r="J64" i="25"/>
  <c r="I65" i="26"/>
  <c r="H65" i="25"/>
  <c r="J65" i="26"/>
  <c r="I65" i="25"/>
  <c r="K65" i="26"/>
  <c r="J65" i="25"/>
  <c r="I168" i="26"/>
  <c r="H168" i="25"/>
  <c r="J168" i="26"/>
  <c r="I168" i="25"/>
  <c r="K168" i="26"/>
  <c r="J168" i="25"/>
  <c r="I169" i="26"/>
  <c r="H169" i="25"/>
  <c r="J169" i="26"/>
  <c r="I169" i="25"/>
  <c r="K169" i="26"/>
  <c r="J169" i="25"/>
  <c r="I170" i="26"/>
  <c r="H170" i="25"/>
  <c r="J170" i="26"/>
  <c r="I170" i="25"/>
  <c r="K170" i="26"/>
  <c r="J170" i="25"/>
  <c r="I171" i="26"/>
  <c r="H171" i="25"/>
  <c r="J171" i="26"/>
  <c r="I171" i="25"/>
  <c r="K171" i="26"/>
  <c r="J171" i="25"/>
  <c r="K25" i="26"/>
  <c r="J25" i="25"/>
  <c r="J25" i="26"/>
  <c r="I25" i="25"/>
  <c r="J36" i="26"/>
  <c r="I36" i="25"/>
  <c r="K36" i="26"/>
  <c r="J36" i="25"/>
  <c r="I36" i="26"/>
  <c r="H36" i="25"/>
  <c r="I142" i="26"/>
  <c r="H142" i="25"/>
  <c r="J142" i="26"/>
  <c r="I142" i="25"/>
  <c r="K142" i="26"/>
  <c r="J142" i="25"/>
  <c r="I148" i="26"/>
  <c r="H148" i="25"/>
  <c r="J148" i="26"/>
  <c r="I148" i="25"/>
  <c r="K148" i="26"/>
  <c r="J148" i="25"/>
  <c r="J183" i="26"/>
  <c r="I183" i="25"/>
  <c r="J192" i="24"/>
  <c r="J192" i="26"/>
  <c r="I192" i="25"/>
  <c r="J193" i="24"/>
  <c r="J193" i="26"/>
  <c r="I193" i="25"/>
  <c r="J194" i="24"/>
  <c r="J194" i="26"/>
  <c r="I194" i="25"/>
  <c r="J195" i="24"/>
  <c r="J195" i="26"/>
  <c r="I195" i="25"/>
  <c r="J196" i="24"/>
  <c r="J196" i="26"/>
  <c r="I196" i="25"/>
  <c r="J197" i="24"/>
  <c r="J197" i="26"/>
  <c r="I197" i="25"/>
  <c r="J198" i="24"/>
  <c r="J198" i="26"/>
  <c r="I198" i="25"/>
  <c r="J199" i="24"/>
  <c r="J199" i="26"/>
  <c r="I199" i="25"/>
  <c r="J200" i="24"/>
  <c r="J200" i="26"/>
  <c r="I200" i="25"/>
  <c r="J201" i="24"/>
  <c r="J201" i="26"/>
  <c r="I201" i="25"/>
  <c r="J202" i="24"/>
  <c r="J202" i="26"/>
  <c r="I202" i="25"/>
  <c r="J203" i="24"/>
  <c r="J203" i="26"/>
  <c r="I203" i="25"/>
  <c r="J204" i="24"/>
  <c r="J204" i="26"/>
  <c r="I204" i="25"/>
  <c r="J205" i="24"/>
  <c r="J205" i="26"/>
  <c r="I205" i="25"/>
  <c r="J206" i="24"/>
  <c r="J206" i="26"/>
  <c r="I206" i="25"/>
  <c r="J207" i="24"/>
  <c r="J207" i="26"/>
  <c r="I207" i="25"/>
  <c r="J145" i="26"/>
  <c r="I145" i="25"/>
  <c r="K24" i="26"/>
  <c r="J24" i="25"/>
  <c r="I25" i="26"/>
  <c r="H25" i="25"/>
  <c r="H220" i="22"/>
  <c r="G220" i="22"/>
  <c r="F220" i="22"/>
  <c r="H217" i="22"/>
  <c r="G217" i="22"/>
  <c r="F217" i="22"/>
  <c r="H216" i="22"/>
  <c r="G216" i="22"/>
  <c r="F216" i="22"/>
  <c r="H214" i="22"/>
  <c r="G214" i="22"/>
  <c r="F214" i="22"/>
  <c r="H213" i="22"/>
  <c r="G213" i="22"/>
  <c r="F213" i="22"/>
  <c r="H212" i="22"/>
  <c r="G212" i="22"/>
  <c r="F212" i="22"/>
  <c r="H211" i="22"/>
  <c r="G211" i="22"/>
  <c r="F211" i="22"/>
  <c r="H210" i="22"/>
  <c r="G210" i="22"/>
  <c r="F210" i="22"/>
  <c r="H191" i="22"/>
  <c r="G191" i="22"/>
  <c r="F191" i="22"/>
  <c r="H190" i="22"/>
  <c r="G190" i="22"/>
  <c r="F190" i="22"/>
  <c r="H189" i="22"/>
  <c r="G189" i="22"/>
  <c r="F189" i="22"/>
  <c r="H188" i="22"/>
  <c r="G188" i="22"/>
  <c r="F188" i="22"/>
  <c r="H187" i="22"/>
  <c r="G187" i="22"/>
  <c r="F187" i="22"/>
  <c r="H186" i="22"/>
  <c r="G186" i="22"/>
  <c r="F186" i="22"/>
  <c r="H185" i="22"/>
  <c r="G185" i="22"/>
  <c r="F185" i="22"/>
  <c r="H184" i="22"/>
  <c r="G184" i="22"/>
  <c r="F184" i="22"/>
  <c r="H183" i="22"/>
  <c r="G183" i="22"/>
  <c r="F183" i="22"/>
  <c r="H182" i="22"/>
  <c r="G182" i="22"/>
  <c r="F182" i="22"/>
  <c r="H179" i="22"/>
  <c r="G179" i="22"/>
  <c r="F179" i="22"/>
  <c r="H178" i="22"/>
  <c r="G178" i="22"/>
  <c r="F178" i="22"/>
  <c r="H177" i="22"/>
  <c r="G177" i="22"/>
  <c r="F177" i="22"/>
  <c r="H176" i="22"/>
  <c r="G176" i="22"/>
  <c r="F176" i="22"/>
  <c r="H175" i="22"/>
  <c r="G175" i="22"/>
  <c r="F175" i="22"/>
  <c r="H174" i="22"/>
  <c r="G174" i="22"/>
  <c r="F174" i="22"/>
  <c r="H173" i="22"/>
  <c r="G173" i="22"/>
  <c r="F173" i="22"/>
  <c r="H172" i="22"/>
  <c r="G172" i="22"/>
  <c r="F172" i="22"/>
  <c r="H171" i="22"/>
  <c r="G171" i="22"/>
  <c r="F171" i="22"/>
  <c r="H170" i="22"/>
  <c r="G170" i="22"/>
  <c r="F170" i="22"/>
  <c r="H168" i="22"/>
  <c r="G168" i="22"/>
  <c r="F168" i="22"/>
  <c r="H167" i="22"/>
  <c r="G167" i="22"/>
  <c r="F167" i="22"/>
  <c r="H166" i="22"/>
  <c r="G166" i="22"/>
  <c r="F166" i="22"/>
  <c r="H165" i="22"/>
  <c r="G165" i="22"/>
  <c r="F165" i="22"/>
  <c r="H164" i="22"/>
  <c r="G164" i="22"/>
  <c r="F164" i="22"/>
  <c r="H163" i="22"/>
  <c r="G163" i="22"/>
  <c r="F163" i="22"/>
  <c r="H162" i="22"/>
  <c r="G162" i="22"/>
  <c r="F162" i="22"/>
  <c r="H161" i="22"/>
  <c r="G161" i="22"/>
  <c r="F161" i="22"/>
  <c r="H160" i="22"/>
  <c r="G160" i="22"/>
  <c r="F160" i="22"/>
  <c r="H159" i="22"/>
  <c r="G159" i="22"/>
  <c r="F159" i="22"/>
  <c r="H158" i="22"/>
  <c r="G158" i="22"/>
  <c r="F158" i="22"/>
  <c r="H157" i="22"/>
  <c r="G157" i="22"/>
  <c r="F157" i="22"/>
  <c r="H156" i="22"/>
  <c r="G156" i="22"/>
  <c r="F156" i="22"/>
  <c r="H155" i="22"/>
  <c r="G155" i="22"/>
  <c r="F155" i="22"/>
  <c r="H154" i="22"/>
  <c r="G154" i="22"/>
  <c r="F154" i="22"/>
  <c r="H153" i="22"/>
  <c r="G153" i="22"/>
  <c r="F153" i="22"/>
  <c r="H152" i="22"/>
  <c r="G152" i="22"/>
  <c r="F152" i="22"/>
  <c r="H151" i="22"/>
  <c r="G151" i="22"/>
  <c r="F151" i="22"/>
  <c r="H150" i="22"/>
  <c r="G150" i="22"/>
  <c r="F150" i="22"/>
  <c r="H149" i="22"/>
  <c r="G149" i="22"/>
  <c r="F149" i="22"/>
  <c r="H148" i="22"/>
  <c r="G148" i="22"/>
  <c r="F148" i="22"/>
  <c r="H146" i="22"/>
  <c r="G146" i="22"/>
  <c r="F146" i="22"/>
  <c r="H145" i="22"/>
  <c r="G145" i="22"/>
  <c r="F145" i="22"/>
  <c r="H144" i="22"/>
  <c r="G144" i="22"/>
  <c r="F144" i="22"/>
  <c r="H143" i="22"/>
  <c r="G143" i="22"/>
  <c r="F143" i="22"/>
  <c r="H142" i="22"/>
  <c r="G142" i="22"/>
  <c r="F142" i="22"/>
  <c r="H141" i="22"/>
  <c r="G141" i="22"/>
  <c r="F141" i="22"/>
  <c r="H140" i="22"/>
  <c r="G140" i="22"/>
  <c r="F140" i="22"/>
  <c r="H139" i="22"/>
  <c r="G139" i="22"/>
  <c r="F139" i="22"/>
  <c r="H138" i="22"/>
  <c r="G138" i="22"/>
  <c r="F138" i="22"/>
  <c r="H137" i="22"/>
  <c r="G137" i="22"/>
  <c r="F137" i="22"/>
  <c r="H136" i="22"/>
  <c r="G136" i="22"/>
  <c r="F136" i="22"/>
  <c r="H135" i="22"/>
  <c r="G135" i="22"/>
  <c r="F135" i="22"/>
  <c r="H134" i="22"/>
  <c r="G134" i="22"/>
  <c r="F134" i="22"/>
  <c r="H133" i="22"/>
  <c r="G133" i="22"/>
  <c r="F133" i="22"/>
  <c r="H132" i="22"/>
  <c r="G132" i="22"/>
  <c r="F132" i="22"/>
  <c r="H130" i="22"/>
  <c r="G130" i="22"/>
  <c r="F130" i="22"/>
  <c r="H129" i="22"/>
  <c r="G129" i="22"/>
  <c r="F129" i="22"/>
  <c r="H128" i="22"/>
  <c r="G128" i="22"/>
  <c r="F128" i="22"/>
  <c r="H127" i="22"/>
  <c r="G127" i="22"/>
  <c r="F127" i="22"/>
  <c r="H126" i="22"/>
  <c r="G126" i="22"/>
  <c r="F126" i="22"/>
  <c r="H125" i="22"/>
  <c r="G125" i="22"/>
  <c r="F125" i="22"/>
  <c r="H124" i="22"/>
  <c r="G124" i="22"/>
  <c r="F124" i="22"/>
  <c r="H123" i="22"/>
  <c r="G123" i="22"/>
  <c r="F123" i="22"/>
  <c r="H121" i="22"/>
  <c r="G121" i="22"/>
  <c r="F121" i="22"/>
  <c r="H120" i="22"/>
  <c r="G120" i="22"/>
  <c r="F120" i="22"/>
  <c r="H119" i="22"/>
  <c r="G119" i="22"/>
  <c r="F119" i="22"/>
  <c r="H118" i="22"/>
  <c r="G118" i="22"/>
  <c r="F118" i="22"/>
  <c r="H110" i="22"/>
  <c r="G110" i="22"/>
  <c r="F110" i="22"/>
  <c r="H109" i="22"/>
  <c r="G109" i="22"/>
  <c r="F109" i="22"/>
  <c r="H108" i="22"/>
  <c r="G108" i="22"/>
  <c r="F108" i="22"/>
  <c r="H107" i="22"/>
  <c r="G107" i="22"/>
  <c r="F107" i="22"/>
  <c r="H106" i="22"/>
  <c r="G106" i="22"/>
  <c r="F106" i="22"/>
  <c r="H105" i="22"/>
  <c r="G105" i="22"/>
  <c r="F105" i="22"/>
  <c r="H104" i="22"/>
  <c r="G104" i="22"/>
  <c r="F104" i="22"/>
  <c r="H103" i="22"/>
  <c r="G103" i="22"/>
  <c r="F103" i="22"/>
  <c r="H100" i="22"/>
  <c r="G100" i="22"/>
  <c r="F100" i="22"/>
  <c r="H99" i="22"/>
  <c r="G99" i="22"/>
  <c r="F99" i="22"/>
  <c r="H98" i="22"/>
  <c r="G98" i="22"/>
  <c r="F98" i="22"/>
  <c r="H97" i="22"/>
  <c r="G97" i="22"/>
  <c r="F97" i="22"/>
  <c r="H96" i="22"/>
  <c r="G96" i="22"/>
  <c r="F96" i="22"/>
  <c r="H95" i="22"/>
  <c r="G95" i="22"/>
  <c r="F95" i="22"/>
  <c r="H94" i="22"/>
  <c r="G94" i="22"/>
  <c r="F94" i="22"/>
  <c r="H93" i="22"/>
  <c r="G93" i="22"/>
  <c r="F93" i="22"/>
  <c r="H91" i="22"/>
  <c r="G91" i="22"/>
  <c r="F91" i="22"/>
  <c r="H90" i="22"/>
  <c r="G90" i="22"/>
  <c r="F90" i="22"/>
  <c r="H89" i="22"/>
  <c r="G89" i="22"/>
  <c r="F89" i="22"/>
  <c r="H88" i="22"/>
  <c r="G88" i="22"/>
  <c r="F88" i="22"/>
  <c r="H87" i="22"/>
  <c r="G87" i="22"/>
  <c r="F87" i="22"/>
  <c r="H86" i="22"/>
  <c r="G86" i="22"/>
  <c r="F86" i="22"/>
  <c r="H85" i="22"/>
  <c r="G85" i="22"/>
  <c r="F85" i="22"/>
  <c r="H84" i="22"/>
  <c r="G84" i="22"/>
  <c r="F84" i="22"/>
  <c r="H83" i="22"/>
  <c r="G83" i="22"/>
  <c r="F83" i="22"/>
  <c r="H82" i="22"/>
  <c r="G82" i="22"/>
  <c r="F82" i="22"/>
  <c r="H81" i="22"/>
  <c r="G81" i="22"/>
  <c r="F81" i="22"/>
  <c r="H80" i="22"/>
  <c r="G80" i="22"/>
  <c r="F80" i="22"/>
  <c r="H79" i="22"/>
  <c r="G79" i="22"/>
  <c r="F79" i="22"/>
  <c r="H78" i="22"/>
  <c r="G78" i="22"/>
  <c r="F78" i="22"/>
  <c r="H77" i="22"/>
  <c r="G77" i="22"/>
  <c r="F77" i="22"/>
  <c r="H76" i="22"/>
  <c r="G76" i="22"/>
  <c r="F76" i="22"/>
  <c r="H74" i="22"/>
  <c r="G74" i="22"/>
  <c r="F74" i="22"/>
  <c r="H73" i="22"/>
  <c r="G73" i="22"/>
  <c r="F73" i="22"/>
  <c r="H72" i="22"/>
  <c r="G72" i="22"/>
  <c r="F72" i="22"/>
  <c r="H71" i="22"/>
  <c r="G71" i="22"/>
  <c r="F71" i="22"/>
  <c r="H70" i="22"/>
  <c r="G70" i="22"/>
  <c r="F70" i="22"/>
  <c r="H69" i="22"/>
  <c r="G69" i="22"/>
  <c r="F69" i="22"/>
  <c r="H68" i="22"/>
  <c r="G68" i="22"/>
  <c r="F68" i="22"/>
  <c r="H67" i="22"/>
  <c r="G67" i="22"/>
  <c r="F67" i="22"/>
  <c r="H62" i="22"/>
  <c r="G62" i="22"/>
  <c r="F62" i="22"/>
  <c r="H61" i="22"/>
  <c r="G61" i="22"/>
  <c r="F61" i="22"/>
  <c r="H60" i="22"/>
  <c r="G60" i="22"/>
  <c r="F60" i="22"/>
  <c r="H58" i="22"/>
  <c r="G58" i="22"/>
  <c r="F58" i="22"/>
  <c r="H57" i="22"/>
  <c r="G57" i="22"/>
  <c r="F57" i="22"/>
  <c r="H56" i="22"/>
  <c r="G56" i="22"/>
  <c r="F56" i="22"/>
  <c r="H55" i="22"/>
  <c r="G55" i="22"/>
  <c r="F55" i="22"/>
  <c r="H54" i="22"/>
  <c r="G54" i="22"/>
  <c r="F54" i="22"/>
  <c r="H53" i="22"/>
  <c r="G53" i="22"/>
  <c r="F53" i="22"/>
  <c r="H52" i="22"/>
  <c r="G52" i="22"/>
  <c r="F52" i="22"/>
  <c r="H51" i="22"/>
  <c r="G51" i="22"/>
  <c r="F51" i="22"/>
  <c r="H50" i="22"/>
  <c r="G50" i="22"/>
  <c r="F50" i="22"/>
  <c r="H49" i="22"/>
  <c r="G49" i="22"/>
  <c r="F49" i="22"/>
  <c r="H48" i="22"/>
  <c r="G48" i="22"/>
  <c r="F48" i="22"/>
  <c r="H47" i="22"/>
  <c r="G47" i="22"/>
  <c r="F47" i="22"/>
  <c r="H46" i="22"/>
  <c r="G46" i="22"/>
  <c r="F46" i="22"/>
  <c r="H45" i="22"/>
  <c r="G45" i="22"/>
  <c r="F45" i="22"/>
  <c r="H44" i="22"/>
  <c r="G44" i="22"/>
  <c r="F44" i="22"/>
  <c r="H43" i="22"/>
  <c r="G43" i="22"/>
  <c r="F43" i="22"/>
  <c r="H41" i="22"/>
  <c r="G41" i="22"/>
  <c r="F41" i="22"/>
  <c r="H40" i="22"/>
  <c r="G40" i="22"/>
  <c r="F40" i="22"/>
  <c r="H39" i="22"/>
  <c r="G39" i="22"/>
  <c r="F39" i="22"/>
  <c r="H38" i="22"/>
  <c r="G38" i="22"/>
  <c r="F38" i="22"/>
  <c r="H37" i="22"/>
  <c r="G37" i="22"/>
  <c r="F37" i="22"/>
  <c r="H36" i="22"/>
  <c r="G36" i="22"/>
  <c r="F36" i="22"/>
  <c r="H34" i="22"/>
  <c r="G34" i="22"/>
  <c r="F34" i="22"/>
  <c r="H33" i="22"/>
  <c r="G33" i="22"/>
  <c r="F33" i="22"/>
  <c r="H32" i="22"/>
  <c r="G32" i="22"/>
  <c r="F32" i="22"/>
  <c r="H31" i="22"/>
  <c r="G31" i="22"/>
  <c r="F31" i="22"/>
  <c r="H30" i="22"/>
  <c r="G30" i="22"/>
  <c r="F30" i="22"/>
  <c r="H29" i="22"/>
  <c r="G29" i="22"/>
  <c r="F29" i="22"/>
  <c r="H28" i="22"/>
  <c r="G28" i="22"/>
  <c r="F28" i="22"/>
  <c r="H27" i="22"/>
  <c r="G27" i="22"/>
  <c r="F27" i="22"/>
  <c r="H26" i="22"/>
  <c r="G26" i="22"/>
  <c r="F26" i="22"/>
  <c r="H24" i="22"/>
  <c r="G24" i="22"/>
  <c r="F24" i="22"/>
  <c r="H23" i="22"/>
  <c r="G23" i="22"/>
  <c r="F23" i="22"/>
  <c r="H22" i="22"/>
  <c r="G22" i="22"/>
  <c r="F22" i="22"/>
  <c r="H21" i="22"/>
  <c r="G21" i="22"/>
  <c r="F21" i="22"/>
  <c r="H20" i="22"/>
  <c r="G20" i="22"/>
  <c r="F20" i="22"/>
  <c r="H19" i="22"/>
  <c r="G19" i="22"/>
  <c r="F19" i="22"/>
  <c r="H17" i="22"/>
  <c r="G17" i="22"/>
  <c r="F17" i="22"/>
  <c r="H16" i="22"/>
  <c r="G16" i="22"/>
  <c r="F16" i="22"/>
  <c r="H15" i="22"/>
  <c r="G15" i="22"/>
  <c r="F15" i="22"/>
  <c r="H14" i="22"/>
  <c r="G14" i="22"/>
  <c r="F14" i="22"/>
  <c r="H13" i="22"/>
  <c r="G13" i="22"/>
  <c r="F13" i="22"/>
  <c r="H12" i="22"/>
  <c r="G12" i="22"/>
  <c r="F12" i="22"/>
  <c r="H10" i="22"/>
  <c r="G10" i="22"/>
  <c r="F10" i="22"/>
  <c r="H9" i="22"/>
  <c r="G9" i="22"/>
  <c r="F9" i="22"/>
  <c r="H8" i="22"/>
  <c r="G8" i="22"/>
  <c r="F8" i="22"/>
  <c r="H7" i="22"/>
  <c r="G7" i="22"/>
  <c r="F7" i="22"/>
  <c r="H6" i="22"/>
  <c r="G6" i="22"/>
  <c r="F6" i="22"/>
  <c r="H5" i="22"/>
  <c r="G5" i="22"/>
  <c r="F5" i="22"/>
  <c r="F58" i="21"/>
  <c r="G58" i="21"/>
  <c r="H58" i="21"/>
  <c r="F41" i="21"/>
  <c r="G41" i="21"/>
  <c r="H41" i="21"/>
  <c r="F40" i="21"/>
  <c r="G40" i="21"/>
  <c r="H40" i="21"/>
  <c r="H179" i="21"/>
  <c r="G179" i="21"/>
  <c r="F179" i="21"/>
  <c r="F104" i="21"/>
  <c r="G104" i="21"/>
  <c r="H104" i="21"/>
  <c r="F105" i="21"/>
  <c r="G105" i="21"/>
  <c r="H105" i="21"/>
  <c r="F106" i="21"/>
  <c r="G106" i="21"/>
  <c r="H106" i="21"/>
  <c r="F107" i="21"/>
  <c r="G107" i="21"/>
  <c r="H107" i="21"/>
  <c r="F108" i="21"/>
  <c r="G108" i="21"/>
  <c r="H108" i="21"/>
  <c r="F109" i="21"/>
  <c r="G109" i="21"/>
  <c r="H109" i="21"/>
  <c r="F110" i="21"/>
  <c r="G110" i="21"/>
  <c r="H110" i="21"/>
  <c r="I60" i="25" l="1"/>
  <c r="H5" i="25"/>
  <c r="J8" i="25"/>
  <c r="H60" i="25"/>
  <c r="J152" i="26"/>
  <c r="I8" i="25"/>
  <c r="H8" i="25"/>
  <c r="K63" i="26"/>
  <c r="J63" i="26"/>
  <c r="J5" i="25"/>
  <c r="I5" i="25"/>
  <c r="H63" i="25"/>
  <c r="I152" i="26"/>
  <c r="H152" i="25"/>
  <c r="K152" i="26"/>
  <c r="J152" i="25"/>
  <c r="I90" i="26"/>
  <c r="H90" i="25"/>
  <c r="K90" i="26"/>
  <c r="J90" i="25"/>
  <c r="J90" i="26"/>
  <c r="I90" i="25"/>
  <c r="I14" i="26"/>
  <c r="H14" i="25"/>
  <c r="J14" i="26"/>
  <c r="I14" i="25"/>
  <c r="J78" i="26"/>
  <c r="I78" i="25"/>
  <c r="I78" i="26"/>
  <c r="H78" i="25"/>
  <c r="K78" i="26"/>
  <c r="J78" i="25"/>
  <c r="K207" i="26"/>
  <c r="J207" i="25"/>
  <c r="K206" i="26"/>
  <c r="J206" i="25"/>
  <c r="K205" i="26"/>
  <c r="J205" i="25"/>
  <c r="K204" i="26"/>
  <c r="J204" i="25"/>
  <c r="K203" i="26"/>
  <c r="J203" i="25"/>
  <c r="K202" i="26"/>
  <c r="J202" i="25"/>
  <c r="K201" i="26"/>
  <c r="J201" i="25"/>
  <c r="K200" i="26"/>
  <c r="J200" i="25"/>
  <c r="K199" i="26"/>
  <c r="J199" i="25"/>
  <c r="K198" i="26"/>
  <c r="J198" i="25"/>
  <c r="K197" i="26"/>
  <c r="J197" i="25"/>
  <c r="K196" i="26"/>
  <c r="J196" i="25"/>
  <c r="K195" i="26"/>
  <c r="J195" i="25"/>
  <c r="K194" i="26"/>
  <c r="J194" i="25"/>
  <c r="K193" i="26"/>
  <c r="J193" i="25"/>
  <c r="K192" i="26"/>
  <c r="J192" i="25"/>
  <c r="K183" i="26"/>
  <c r="J183" i="25"/>
  <c r="F217" i="21"/>
  <c r="G217" i="21"/>
  <c r="H217" i="21"/>
  <c r="H216" i="21"/>
  <c r="G216" i="21"/>
  <c r="F216" i="21"/>
  <c r="H31" i="21"/>
  <c r="G31" i="21"/>
  <c r="F31" i="21"/>
  <c r="F177" i="21"/>
  <c r="G177" i="21"/>
  <c r="H177" i="21"/>
  <c r="H24" i="21"/>
  <c r="G24" i="21"/>
  <c r="F24" i="21"/>
  <c r="F119" i="21"/>
  <c r="F120" i="21"/>
  <c r="F121" i="21"/>
  <c r="H119" i="21"/>
  <c r="H120" i="21"/>
  <c r="H121" i="21"/>
  <c r="H94" i="21"/>
  <c r="H95" i="21"/>
  <c r="H96" i="21"/>
  <c r="H97" i="21"/>
  <c r="H98" i="21"/>
  <c r="H99" i="21"/>
  <c r="H100" i="21"/>
  <c r="F94" i="21"/>
  <c r="F95" i="21"/>
  <c r="F96" i="21"/>
  <c r="F97" i="21"/>
  <c r="F98" i="21"/>
  <c r="F99" i="21"/>
  <c r="F100" i="21"/>
  <c r="H77" i="21"/>
  <c r="H78" i="21"/>
  <c r="H79" i="21"/>
  <c r="H80" i="21"/>
  <c r="H84" i="21"/>
  <c r="H81" i="21"/>
  <c r="H83" i="21"/>
  <c r="H82" i="21"/>
  <c r="H85" i="21"/>
  <c r="H86" i="21"/>
  <c r="H87" i="21"/>
  <c r="H88" i="21"/>
  <c r="H89" i="21"/>
  <c r="H90" i="21"/>
  <c r="H91" i="21"/>
  <c r="F77" i="21"/>
  <c r="F78" i="21"/>
  <c r="F79" i="21"/>
  <c r="F80" i="21"/>
  <c r="F84" i="21"/>
  <c r="F81" i="21"/>
  <c r="F83" i="21"/>
  <c r="F82" i="21"/>
  <c r="F85" i="21"/>
  <c r="F86" i="21"/>
  <c r="F87" i="21"/>
  <c r="F88" i="21"/>
  <c r="F89" i="21"/>
  <c r="F90" i="21"/>
  <c r="F91" i="21"/>
  <c r="H68" i="21"/>
  <c r="H69" i="21"/>
  <c r="H70" i="21"/>
  <c r="H71" i="21"/>
  <c r="H72" i="21"/>
  <c r="H73" i="21"/>
  <c r="H74" i="21"/>
  <c r="F68" i="21"/>
  <c r="F69" i="21"/>
  <c r="F70" i="21"/>
  <c r="F71" i="21"/>
  <c r="F72" i="21"/>
  <c r="F73" i="21"/>
  <c r="F74" i="21"/>
  <c r="G68" i="21"/>
  <c r="G69" i="21"/>
  <c r="G70" i="21"/>
  <c r="G71" i="21"/>
  <c r="G72" i="21"/>
  <c r="G73" i="21"/>
  <c r="G74" i="21"/>
  <c r="G77" i="21"/>
  <c r="G78" i="21"/>
  <c r="G79" i="21"/>
  <c r="G80" i="21"/>
  <c r="G84" i="21"/>
  <c r="G81" i="21"/>
  <c r="G83" i="21"/>
  <c r="G82" i="21"/>
  <c r="G85" i="21"/>
  <c r="G86" i="21"/>
  <c r="G87" i="21"/>
  <c r="G88" i="21"/>
  <c r="G89" i="21"/>
  <c r="G90" i="21"/>
  <c r="G91" i="21"/>
  <c r="G94" i="21"/>
  <c r="G95" i="21"/>
  <c r="G96" i="21"/>
  <c r="G97" i="21"/>
  <c r="G98" i="21"/>
  <c r="G99" i="21"/>
  <c r="G100" i="21"/>
  <c r="G119" i="21"/>
  <c r="G120" i="21"/>
  <c r="G121" i="21"/>
  <c r="F124" i="21"/>
  <c r="G124" i="21"/>
  <c r="H124" i="21"/>
  <c r="F125" i="21"/>
  <c r="G125" i="21"/>
  <c r="H125" i="21"/>
  <c r="F126" i="21"/>
  <c r="G126" i="21"/>
  <c r="H126" i="21"/>
  <c r="F127" i="21"/>
  <c r="G127" i="21"/>
  <c r="H127" i="21"/>
  <c r="F128" i="21"/>
  <c r="G128" i="21"/>
  <c r="H128" i="21"/>
  <c r="F129" i="21"/>
  <c r="G129" i="21"/>
  <c r="H129" i="21"/>
  <c r="F130" i="21"/>
  <c r="G130" i="21"/>
  <c r="H130" i="21"/>
  <c r="F133" i="21"/>
  <c r="G133" i="21"/>
  <c r="H133" i="21"/>
  <c r="F134" i="21"/>
  <c r="G134" i="21"/>
  <c r="H134" i="21"/>
  <c r="F135" i="21"/>
  <c r="G135" i="21"/>
  <c r="H135" i="21"/>
  <c r="F136" i="21"/>
  <c r="G136" i="21"/>
  <c r="H136" i="21"/>
  <c r="F137" i="21"/>
  <c r="G137" i="21"/>
  <c r="H137" i="21"/>
  <c r="F138" i="21"/>
  <c r="G138" i="21"/>
  <c r="H138" i="21"/>
  <c r="F139" i="21"/>
  <c r="G139" i="21"/>
  <c r="H139" i="21"/>
  <c r="F140" i="21"/>
  <c r="G140" i="21"/>
  <c r="H140" i="21"/>
  <c r="F141" i="21"/>
  <c r="G141" i="21"/>
  <c r="H141" i="21"/>
  <c r="F142" i="21"/>
  <c r="G142" i="21"/>
  <c r="H142" i="21"/>
  <c r="F143" i="21"/>
  <c r="G143" i="21"/>
  <c r="H143" i="21"/>
  <c r="F144" i="21"/>
  <c r="G144" i="21"/>
  <c r="H144" i="21"/>
  <c r="F145" i="21"/>
  <c r="G145" i="21"/>
  <c r="H145" i="21"/>
  <c r="F149" i="21"/>
  <c r="G149" i="21"/>
  <c r="H149" i="21"/>
  <c r="F150" i="21"/>
  <c r="G150" i="21"/>
  <c r="H150" i="21"/>
  <c r="F151" i="21"/>
  <c r="G151" i="21"/>
  <c r="H151" i="21"/>
  <c r="F152" i="21"/>
  <c r="G152" i="21"/>
  <c r="H152" i="21"/>
  <c r="F153" i="21"/>
  <c r="G153" i="21"/>
  <c r="H153" i="21"/>
  <c r="F154" i="21"/>
  <c r="G154" i="21"/>
  <c r="H154" i="21"/>
  <c r="F155" i="21"/>
  <c r="G155" i="21"/>
  <c r="H155" i="21"/>
  <c r="F156" i="21"/>
  <c r="G156" i="21"/>
  <c r="H156" i="21"/>
  <c r="F157" i="21"/>
  <c r="G157" i="21"/>
  <c r="H157" i="21"/>
  <c r="F158" i="21"/>
  <c r="G158" i="21"/>
  <c r="H158" i="21"/>
  <c r="F159" i="21"/>
  <c r="G159" i="21"/>
  <c r="H159" i="21"/>
  <c r="F160" i="21"/>
  <c r="G160" i="21"/>
  <c r="H160" i="21"/>
  <c r="F161" i="21"/>
  <c r="G161" i="21"/>
  <c r="H161" i="21"/>
  <c r="F162" i="21"/>
  <c r="G162" i="21"/>
  <c r="H162" i="21"/>
  <c r="F163" i="21"/>
  <c r="G163" i="21"/>
  <c r="H163" i="21"/>
  <c r="F164" i="21"/>
  <c r="G164" i="21"/>
  <c r="H164" i="21"/>
  <c r="F146" i="21"/>
  <c r="G146" i="21"/>
  <c r="H146" i="21"/>
  <c r="F165" i="21"/>
  <c r="G165" i="21"/>
  <c r="H165" i="21"/>
  <c r="F166" i="21"/>
  <c r="G166" i="21"/>
  <c r="H166" i="21"/>
  <c r="F167" i="21"/>
  <c r="G167" i="21"/>
  <c r="H167" i="21"/>
  <c r="F168" i="21"/>
  <c r="G168" i="21"/>
  <c r="H168" i="21"/>
  <c r="F171" i="21"/>
  <c r="G171" i="21"/>
  <c r="H171" i="21"/>
  <c r="F172" i="21"/>
  <c r="G172" i="21"/>
  <c r="H172" i="21"/>
  <c r="F173" i="21"/>
  <c r="G173" i="21"/>
  <c r="H173" i="21"/>
  <c r="F174" i="21"/>
  <c r="G174" i="21"/>
  <c r="H174" i="21"/>
  <c r="F175" i="21"/>
  <c r="G175" i="21"/>
  <c r="H175" i="21"/>
  <c r="F176" i="21"/>
  <c r="G176" i="21"/>
  <c r="H176" i="21"/>
  <c r="F178" i="21"/>
  <c r="G178" i="21"/>
  <c r="H178" i="21"/>
  <c r="F183" i="21"/>
  <c r="G183" i="21"/>
  <c r="H183" i="21"/>
  <c r="F184" i="21"/>
  <c r="G184" i="21"/>
  <c r="H184" i="21"/>
  <c r="F185" i="21"/>
  <c r="G185" i="21"/>
  <c r="H185" i="21"/>
  <c r="F186" i="21"/>
  <c r="G186" i="21"/>
  <c r="H186" i="21"/>
  <c r="F187" i="21"/>
  <c r="G187" i="21"/>
  <c r="H187" i="21"/>
  <c r="F188" i="21"/>
  <c r="G188" i="21"/>
  <c r="H188" i="21"/>
  <c r="F189" i="21"/>
  <c r="G189" i="21"/>
  <c r="H189" i="21"/>
  <c r="F190" i="21"/>
  <c r="G190" i="21"/>
  <c r="H190" i="21"/>
  <c r="F191" i="21"/>
  <c r="G191" i="21"/>
  <c r="H191" i="21"/>
  <c r="F211" i="21"/>
  <c r="G211" i="21"/>
  <c r="H211" i="21"/>
  <c r="F212" i="21"/>
  <c r="G212" i="21"/>
  <c r="H212" i="21"/>
  <c r="F213" i="21"/>
  <c r="G213" i="21"/>
  <c r="H213" i="21"/>
  <c r="F214" i="21"/>
  <c r="G214" i="21"/>
  <c r="H214" i="21"/>
  <c r="F220" i="21"/>
  <c r="G220" i="21"/>
  <c r="H220" i="21"/>
  <c r="H103" i="21"/>
  <c r="G103" i="21"/>
  <c r="F103" i="21"/>
  <c r="H210" i="21"/>
  <c r="G210" i="21"/>
  <c r="F210" i="21"/>
  <c r="H182" i="21"/>
  <c r="G182" i="21"/>
  <c r="F182" i="21"/>
  <c r="H170" i="21"/>
  <c r="G170" i="21"/>
  <c r="F170" i="21"/>
  <c r="H148" i="21"/>
  <c r="G148" i="21"/>
  <c r="F148" i="21"/>
  <c r="H132" i="21"/>
  <c r="G132" i="21"/>
  <c r="F132" i="21"/>
  <c r="H123" i="21"/>
  <c r="G123" i="21"/>
  <c r="F123" i="21"/>
  <c r="H118" i="21"/>
  <c r="G118" i="21"/>
  <c r="F118" i="21"/>
  <c r="H93" i="21"/>
  <c r="G93" i="21"/>
  <c r="F93" i="21"/>
  <c r="H76" i="21"/>
  <c r="G76" i="21"/>
  <c r="F76" i="21"/>
  <c r="H67" i="21"/>
  <c r="G67" i="21"/>
  <c r="F67" i="21"/>
  <c r="F61" i="21"/>
  <c r="G61" i="21"/>
  <c r="H61" i="21"/>
  <c r="F62" i="21"/>
  <c r="G62" i="21"/>
  <c r="H62" i="21"/>
  <c r="H60" i="21"/>
  <c r="G60" i="21"/>
  <c r="F60" i="21"/>
  <c r="F43" i="21"/>
  <c r="G43" i="21"/>
  <c r="H43" i="21"/>
  <c r="F44" i="21"/>
  <c r="G44" i="21"/>
  <c r="H44" i="21"/>
  <c r="F45" i="21"/>
  <c r="G45" i="21"/>
  <c r="H45" i="21"/>
  <c r="F46" i="21"/>
  <c r="G46" i="21"/>
  <c r="H46" i="21"/>
  <c r="F47" i="21"/>
  <c r="G47" i="21"/>
  <c r="H47" i="21"/>
  <c r="F48" i="21"/>
  <c r="G48" i="21"/>
  <c r="H48" i="21"/>
  <c r="F49" i="21"/>
  <c r="G49" i="21"/>
  <c r="H49" i="21"/>
  <c r="F50" i="21"/>
  <c r="G50" i="21"/>
  <c r="H50" i="21"/>
  <c r="F51" i="21"/>
  <c r="G51" i="21"/>
  <c r="H51" i="21"/>
  <c r="F52" i="21"/>
  <c r="G52" i="21"/>
  <c r="H52" i="21"/>
  <c r="F53" i="21"/>
  <c r="G53" i="21"/>
  <c r="H53" i="21"/>
  <c r="F54" i="21"/>
  <c r="G54" i="21"/>
  <c r="H54" i="21"/>
  <c r="F55" i="21"/>
  <c r="G55" i="21"/>
  <c r="H55" i="21"/>
  <c r="F56" i="21"/>
  <c r="G56" i="21"/>
  <c r="H56" i="21"/>
  <c r="F57" i="21"/>
  <c r="G57" i="21"/>
  <c r="H57" i="21"/>
  <c r="F37" i="21"/>
  <c r="G37" i="21"/>
  <c r="H37" i="21"/>
  <c r="F38" i="21"/>
  <c r="G38" i="21"/>
  <c r="H38" i="21"/>
  <c r="F39" i="21"/>
  <c r="G39" i="21"/>
  <c r="H39" i="21"/>
  <c r="H36" i="21"/>
  <c r="G36" i="21"/>
  <c r="F36" i="21"/>
  <c r="F27" i="21"/>
  <c r="G27" i="21"/>
  <c r="H27" i="21"/>
  <c r="F28" i="21"/>
  <c r="G28" i="21"/>
  <c r="H28" i="21"/>
  <c r="F29" i="21"/>
  <c r="G29" i="21"/>
  <c r="H29" i="21"/>
  <c r="F30" i="21"/>
  <c r="G30" i="21"/>
  <c r="H30" i="21"/>
  <c r="F32" i="21"/>
  <c r="G32" i="21"/>
  <c r="H32" i="21"/>
  <c r="F33" i="21"/>
  <c r="G33" i="21"/>
  <c r="H33" i="21"/>
  <c r="F34" i="21"/>
  <c r="G34" i="21"/>
  <c r="H34" i="21"/>
  <c r="H26" i="21"/>
  <c r="G26" i="21"/>
  <c r="F26" i="21"/>
  <c r="F20" i="21"/>
  <c r="G20" i="21"/>
  <c r="H20" i="21"/>
  <c r="F21" i="21"/>
  <c r="G21" i="21"/>
  <c r="H21" i="21"/>
  <c r="F22" i="21"/>
  <c r="G22" i="21"/>
  <c r="H22" i="21"/>
  <c r="F23" i="21"/>
  <c r="G23" i="21"/>
  <c r="H23" i="21"/>
  <c r="H19" i="21"/>
  <c r="G19" i="21"/>
  <c r="F19" i="21"/>
  <c r="F12" i="21"/>
  <c r="G12" i="21"/>
  <c r="H12" i="21"/>
  <c r="F13" i="21"/>
  <c r="G13" i="21"/>
  <c r="H13" i="21"/>
  <c r="F14" i="21"/>
  <c r="G14" i="21"/>
  <c r="H14" i="21"/>
  <c r="F15" i="21"/>
  <c r="G15" i="21"/>
  <c r="H15" i="21"/>
  <c r="F16" i="21"/>
  <c r="G16" i="21"/>
  <c r="H16" i="21"/>
  <c r="F17" i="21"/>
  <c r="G17" i="21"/>
  <c r="H17" i="21"/>
  <c r="F6" i="21"/>
  <c r="G6" i="21"/>
  <c r="H6" i="21"/>
  <c r="F7" i="21"/>
  <c r="G7" i="21"/>
  <c r="H7" i="21"/>
  <c r="F8" i="21"/>
  <c r="G8" i="21"/>
  <c r="H8" i="21"/>
  <c r="F9" i="21"/>
  <c r="G9" i="21"/>
  <c r="H9" i="21"/>
  <c r="F10" i="21"/>
  <c r="G10" i="21"/>
  <c r="H10" i="21"/>
  <c r="G5" i="21"/>
  <c r="H5" i="21"/>
  <c r="F5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Crystal Denman</author>
  </authors>
  <commentList>
    <comment ref="P6" authorId="0" shapeId="0" xr:uid="{B3510E8B-D3A8-46F7-95C0-66F3DDF686A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no EW Yet</t>
        </r>
      </text>
    </comment>
    <comment ref="P7" authorId="0" shapeId="0" xr:uid="{F22B4D4A-B151-45A6-9E94-D722DB63A4D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Monarch Glacier Boulder 138/tn</t>
        </r>
      </text>
    </comment>
    <comment ref="P10" authorId="0" shapeId="0" xr:uid="{3AF1E782-7A36-4321-B605-20F650D5CC8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Monarch Rainbow Boulders  140/tn</t>
        </r>
      </text>
    </comment>
    <comment ref="P12" authorId="0" shapeId="0" xr:uid="{67EDB6E9-F2AC-48AE-88A2-06A197A700A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-160/tn</t>
        </r>
      </text>
    </comment>
    <comment ref="P13" authorId="0" shapeId="0" xr:uid="{67F4EBBF-150E-4706-B5E6-D28D52F4583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-160/tn</t>
        </r>
      </text>
    </comment>
    <comment ref="P14" authorId="0" shapeId="0" xr:uid="{9E0A2CA6-734B-4DB5-8189-EF617DFCAA4D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-160/tn</t>
        </r>
      </text>
    </comment>
    <comment ref="P15" authorId="0" shapeId="0" xr:uid="{13A41800-D7EF-4B21-AA47-5A66AC6CD29D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-160/tn</t>
        </r>
      </text>
    </comment>
    <comment ref="P33" authorId="0" shapeId="0" xr:uid="{88565692-41B0-431A-80E2-64979EF67FB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95/tn</t>
        </r>
      </text>
    </comment>
    <comment ref="P38" authorId="0" shapeId="0" xr:uid="{6F00E9D0-0A21-44D4-9DB0-9DB29F204F43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Riverview trucking was about 12/tn cost of product was the same</t>
        </r>
      </text>
    </comment>
    <comment ref="P47" authorId="0" shapeId="0" xr:uid="{0A42F759-BAF3-4F67-8568-B98A954B4581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Spliters - 125/tn
</t>
        </r>
      </text>
    </comment>
    <comment ref="P48" authorId="0" shapeId="0" xr:uid="{B33FC6FF-DFD9-42B1-8FEC-F16D125B29B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Splitters 210/tn</t>
        </r>
      </text>
    </comment>
    <comment ref="P49" authorId="0" shapeId="0" xr:uid="{6AA24A87-7AAE-4277-B45B-E8BBB849379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Splitters 115/tn</t>
        </r>
      </text>
    </comment>
    <comment ref="P50" authorId="0" shapeId="0" xr:uid="{55E68660-783A-4C74-AF59-8CAE051CB9CC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Splitters 200/ton</t>
        </r>
      </text>
    </comment>
    <comment ref="P51" authorId="0" shapeId="0" xr:uid="{58616B80-1544-44CD-896E-74B42C4CD8F6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Spliters - 125/tn
</t>
        </r>
      </text>
    </comment>
    <comment ref="P52" authorId="0" shapeId="0" xr:uid="{73AEF7AA-B191-4098-A048-9587F4046A2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Splitters 115/tn</t>
        </r>
      </text>
    </comment>
    <comment ref="P53" authorId="0" shapeId="0" xr:uid="{B74D2A8E-7FA3-484C-9DF5-EBB67901F44D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Splitters 210/tn 1.25-1.75 and 200/tn 2-2.5</t>
        </r>
      </text>
    </comment>
    <comment ref="P54" authorId="0" shapeId="0" xr:uid="{1D2EE19F-AB6F-4BAC-A128-22EB36BDA0F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Spliters - 125/tn
</t>
        </r>
      </text>
    </comment>
    <comment ref="P55" authorId="0" shapeId="0" xr:uid="{EB401297-E4BB-45FF-9A5C-B716B347403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Splitters 210/tn</t>
        </r>
      </text>
    </comment>
    <comment ref="P56" authorId="0" shapeId="0" xr:uid="{7F144521-B61C-4798-896B-335E510DF46C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Splitters 115/tn</t>
        </r>
      </text>
    </comment>
    <comment ref="P57" authorId="0" shapeId="0" xr:uid="{A0AD18FB-C874-485B-A0FF-373F145D612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Stone Splitters 200/ton</t>
        </r>
      </text>
    </comment>
    <comment ref="P71" authorId="0" shapeId="0" xr:uid="{9DBB0A55-FFA6-4E6B-AD7C-1F8F136F4713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Pennys 22/tn
Midstates Big Springs - 26.90/tn</t>
        </r>
      </text>
    </comment>
    <comment ref="P72" authorId="0" shapeId="0" xr:uid="{B43482ED-CD42-49FE-8D69-B382DD289AD8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Midstates Topeka Sand Mason Sand - 17.05/tn
Penny 15.55</t>
        </r>
      </text>
    </comment>
    <comment ref="R72" authorId="0" shapeId="0" xr:uid="{D9E02D1E-DA93-4B2F-BE7D-CE05ED6EFE5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assume MMSNF Haul Rate</t>
        </r>
      </text>
    </comment>
    <comment ref="P73" authorId="0" shapeId="0" xr:uid="{854642FF-7185-4697-9443-914F285A601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Midstates Topeka Sand Clean Fill Sand - 12.30/tn</t>
        </r>
      </text>
    </comment>
    <comment ref="R73" authorId="0" shapeId="0" xr:uid="{C297B9A9-6890-4EAB-84A3-AFA8E226D55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assume MMSNF Haul Rate</t>
        </r>
      </text>
    </comment>
    <comment ref="P76" authorId="0" shapeId="0" xr:uid="{53400BD3-7696-442B-94A2-9924A7CAF1A3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Midstates Big Springs 14.35
MMSNF 6.15/tn plus 7.27 hauling
Hamm Screening Grantville 9.66/tn</t>
        </r>
      </text>
    </comment>
    <comment ref="P78" authorId="0" shapeId="0" xr:uid="{38ACB5F7-EC41-4248-9B36-A597CFD7A76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Midstates Big Springs 4" Ditch Liner - 30.75
Pennys - 22/tn</t>
        </r>
      </text>
    </comment>
    <comment ref="P80" authorId="0" shapeId="0" xr:uid="{22A39003-3138-480E-A2EB-CFB8374C836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ACA - Will send new price March 1
Butala - not until March</t>
        </r>
      </text>
    </comment>
    <comment ref="P81" authorId="0" shapeId="0" xr:uid="{EA4F083D-BCBC-48D0-91DC-7CB4037A6CF1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MCM is 23.90/tn</t>
        </r>
      </text>
    </comment>
    <comment ref="P82" authorId="0" shapeId="0" xr:uid="{49172B3D-107D-407D-938D-2EB81E38CE6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Kaw is 35/to</t>
        </r>
      </text>
    </comment>
    <comment ref="P89" authorId="0" shapeId="0" xr:uid="{D2C00630-BDCD-4BE5-8473-1738E2A9D473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Hallett - $37.10 1" Concrete Gravel D-57
Marshalltown, IA 28.40/tn - Glaser has not quoted this place yet</t>
        </r>
      </text>
    </comment>
    <comment ref="P90" authorId="0" shapeId="0" xr:uid="{C46F15C3-EECA-4287-8A94-356EF9FBA7E1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Hallett 2" Gravel $72
Marshalltown, IA 51.95/tn - Glaser has not quoted this place yet</t>
        </r>
      </text>
    </comment>
    <comment ref="P93" authorId="0" shapeId="0" xr:uid="{B72C2461-A3B0-4976-8CD0-7C0E9A79D1E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Midstates doesn't have
Holcim 23/ton</t>
        </r>
      </text>
    </comment>
    <comment ref="Q93" authorId="0" shapeId="0" xr:uid="{B364D497-846C-44AE-8E61-A9D39749254D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Entered July 2024 price increase</t>
        </r>
      </text>
    </comment>
    <comment ref="P94" authorId="0" shapeId="0" xr:uid="{5C15203A-6A26-4290-99D3-35DDAF09179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holcim 26/tn</t>
        </r>
      </text>
    </comment>
    <comment ref="Q94" authorId="0" shapeId="0" xr:uid="{5CFEC5DB-465E-4721-9152-29018EF6AC1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Entered July 2024 price increase</t>
        </r>
      </text>
    </comment>
    <comment ref="Q95" authorId="0" shapeId="0" xr:uid="{DE70538F-E49A-4265-AE36-91F3F39E06B1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Entered July 2024 price increase</t>
        </r>
      </text>
    </comment>
    <comment ref="Q147" authorId="0" shapeId="0" xr:uid="{8BA0DEC1-32E9-43C6-BC6E-7D29C9F06EE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SRW is 31.50/box pallet price</t>
        </r>
      </text>
    </comment>
    <comment ref="Q149" authorId="0" shapeId="0" xr:uid="{DE0B418E-265D-4BCA-A769-FC6903B33B7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SRW is 36.50/box pallet price</t>
        </r>
      </text>
    </comment>
    <comment ref="W227" authorId="0" shapeId="0" xr:uid="{12D75ECA-5DE9-4D49-B2E0-D08A15266AE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offset CC fee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Crystal Denman</author>
  </authors>
  <commentList>
    <comment ref="R6" authorId="0" shapeId="0" xr:uid="{16F937F3-A375-4145-96DB-C41A03B740DD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Earthworks 145
Mule Creek - 85-95+trucking
Lindley - 95</t>
        </r>
      </text>
    </comment>
    <comment ref="R7" authorId="0" shapeId="0" xr:uid="{EFDF27D2-6DB2-4819-AFEF-FDC69EC1F718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Earthworks - 275
Monarch - 138</t>
        </r>
      </text>
    </comment>
    <comment ref="R11" authorId="0" shapeId="0" xr:uid="{EFD588E7-5348-4E33-AF72-9F255E5CDB0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what we paid on the invoice
Now 125 - but leaving it at 180 b/c that's what we paid</t>
        </r>
      </text>
    </comment>
    <comment ref="R13" authorId="0" shapeId="0" xr:uid="{8738F70C-207B-4779-A955-B6F1FB991136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- 160
Stone Spliters - 165</t>
        </r>
      </text>
    </comment>
    <comment ref="R14" authorId="0" shapeId="0" xr:uid="{F1A72192-C823-40C8-A7BB-4D32BA5EC858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- 160
Stone Spliters - 165</t>
        </r>
      </text>
    </comment>
    <comment ref="R15" authorId="0" shapeId="0" xr:uid="{88608B60-E803-483B-9338-B78A2D83FAD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- 160
Stone Spliters - 165</t>
        </r>
      </text>
    </comment>
    <comment ref="R16" authorId="0" shapeId="0" xr:uid="{E0C3969A-761B-4E31-BCF7-681EC4F82F3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- 160
Stone Spliters - 165</t>
        </r>
      </text>
    </comment>
    <comment ref="R18" authorId="0" shapeId="0" xr:uid="{26523F6B-4A5D-4423-ADDE-83C37F7D765B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19" authorId="0" shapeId="0" xr:uid="{93D111CD-3C4D-4488-9C7B-A21367FD537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20" authorId="0" shapeId="0" xr:uid="{219B84D6-7086-4A29-8000-3C7248982E2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40" authorId="0" shapeId="0" xr:uid="{003101DB-1DCD-499E-8052-5F45FCBC152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105 Riverview with 200 for trucking
95 + 23 Flint Hills</t>
        </r>
      </text>
    </comment>
    <comment ref="R44" authorId="0" shapeId="0" xr:uid="{9EB8E200-A0F2-4262-BA00-915D71EB024B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45" authorId="0" shapeId="0" xr:uid="{660BC34B-3DB8-4EDB-BA62-AD797228113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46" authorId="0" shapeId="0" xr:uid="{94F14072-ACCE-488D-A789-A9ED19F5AD3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47" authorId="0" shapeId="0" xr:uid="{13C33903-5393-40B9-8DA6-8D0EC16B447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48" authorId="0" shapeId="0" xr:uid="{3AD3F924-4818-4708-8DB0-E74D5A31B95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49" authorId="0" shapeId="0" xr:uid="{3A60D285-71F4-4418-B1E3-C22161141D2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51" authorId="0" shapeId="0" xr:uid="{C1F2D1D9-88C6-438A-8583-D28192DDAF7B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- 155
Stone Spliters - 125</t>
        </r>
      </text>
    </comment>
    <comment ref="R52" authorId="0" shapeId="0" xr:uid="{26890EE0-9C6C-488D-A8E7-FFAD39916E36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- 230
Stone Spliters - 210</t>
        </r>
      </text>
    </comment>
    <comment ref="R53" authorId="0" shapeId="0" xr:uid="{EF63ACBC-E9E4-4A60-97D9-D180F62C7A4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- 140
Stone Spliters - 115</t>
        </r>
      </text>
    </comment>
    <comment ref="R54" authorId="0" shapeId="0" xr:uid="{076059A5-1024-474F-B043-B9EA56F886F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- 220
Stone Spliters - 200</t>
        </r>
      </text>
    </comment>
    <comment ref="R55" authorId="0" shapeId="0" xr:uid="{F22877D0-296F-48B6-B105-9965AFA81DE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- 155
Stone Spliters - 125</t>
        </r>
      </text>
    </comment>
    <comment ref="R56" authorId="0" shapeId="0" xr:uid="{D5C934BC-DA48-4164-809B-84E69AC099A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- 140
Stone Spliters - 115</t>
        </r>
      </text>
    </comment>
    <comment ref="R57" authorId="0" shapeId="0" xr:uid="{42EBD8EE-9572-40DE-95BC-7485FC68045B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- 230
Stone Spliters - 210</t>
        </r>
      </text>
    </comment>
    <comment ref="R58" authorId="0" shapeId="0" xr:uid="{E6974D71-E0A3-479F-948F-0F4DB98CE7C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- 155
Stone Spliters - 125</t>
        </r>
      </text>
    </comment>
    <comment ref="R59" authorId="0" shapeId="0" xr:uid="{BB888ACA-0E4A-4258-A6CB-FD2DCDC8E57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- 230
Stone Spliters - 210</t>
        </r>
      </text>
    </comment>
    <comment ref="R60" authorId="0" shapeId="0" xr:uid="{127ED24F-D8CC-4747-A660-5FD302E446A1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- 140
Stone Spliters - 115</t>
        </r>
      </text>
    </comment>
    <comment ref="R61" authorId="0" shapeId="0" xr:uid="{AD2B60FD-E02E-4DD0-9663-2F2416BDED5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- 220
Stone Spliters - 200</t>
        </r>
      </text>
    </comment>
    <comment ref="R66" authorId="0" shapeId="0" xr:uid="{ABA672EE-6DA8-4099-A822-6F01E175843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70" authorId="0" shapeId="0" xr:uid="{3BDDE6FD-00E5-4520-9010-90591E46D52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75" authorId="0" shapeId="0" xr:uid="{478F9598-B73D-4C9B-8C4D-434559361C5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Hamm Grantville - 32.69
Midstates Big Spring - 29.20 - updated to 30.95 7/1/25
Penny 26.95 + 7 for delivery</t>
        </r>
      </text>
    </comment>
    <comment ref="S75" authorId="0" shapeId="0" xr:uid="{FCA1782D-1D02-4524-A4C4-4875F257DC96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Assume Back Hall</t>
        </r>
      </text>
    </comment>
    <comment ref="R76" authorId="0" shapeId="0" xr:uid="{CEBFF3F7-C4FE-4EA4-A607-0D2A4B9230AB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Penny - 18.45 + 5 delivery
Mid States Topeka - 18.50</t>
        </r>
      </text>
    </comment>
    <comment ref="S76" authorId="0" shapeId="0" xr:uid="{24324F40-A635-40AB-9F21-1691B192A5A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Assume Back Hall</t>
        </r>
      </text>
    </comment>
    <comment ref="R77" authorId="0" shapeId="0" xr:uid="{AB0002AC-4831-4AF1-9C26-A813200307F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Penny - 12.80 + 5 delivery
Mid States Topeka - 13.35</t>
        </r>
      </text>
    </comment>
    <comment ref="R80" authorId="0" shapeId="0" xr:uid="{80428003-3B75-45A8-90FC-E269C14CF2A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MMSF 6.75
MMOT
Hamm NL - 10.63
Mid States - 15.55 - different now</t>
        </r>
      </text>
    </comment>
    <comment ref="R82" authorId="0" shapeId="0" xr:uid="{F033B3FA-8615-4A06-9E30-BF5B305B0A7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Penny 29.95 + 7 delivery
Mid States Big Springs - 33.35 updated to 35.35 7/1/25</t>
        </r>
      </text>
    </comment>
    <comment ref="R84" authorId="0" shapeId="0" xr:uid="{EF0C0D23-B3CE-4458-8C6B-9ED3B4F0C4F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ACA - 36
Butala 39.50
Monarch 25.25</t>
        </r>
      </text>
    </comment>
    <comment ref="S84" authorId="0" shapeId="0" xr:uid="{29F3BD9A-50A7-4665-B1DC-CF1B77EAFB41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77.50</t>
        </r>
      </text>
    </comment>
    <comment ref="R85" authorId="0" shapeId="0" xr:uid="{D9D83B85-E021-4E7E-9394-4CDDA8E5EB6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Holliday 42.40
MCM 25</t>
        </r>
      </text>
    </comment>
    <comment ref="R86" authorId="0" shapeId="0" xr:uid="{77FA96FB-858D-4BBF-83EA-31A1B608A04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Kaw 35
Holliday $53.20
but $30 for the rest of 2025</t>
        </r>
      </text>
    </comment>
    <comment ref="S86" authorId="0" shapeId="0" xr:uid="{BB3E1576-4FC6-4C66-81D4-A9A0AA6F628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approximate zone 2 per tn</t>
        </r>
      </text>
    </comment>
    <comment ref="Q87" authorId="0" shapeId="0" xr:uid="{6D563D1E-0FEE-498E-9BDC-F17F792F369D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Kaw 3-6 is their 2-4 Dan says same product- reached out to Dean Andrews</t>
        </r>
      </text>
    </comment>
    <comment ref="S87" authorId="0" shapeId="0" xr:uid="{E24570EB-3778-4B15-93DC-DA46A10053F1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approximate zone 2 per tn</t>
        </r>
      </text>
    </comment>
    <comment ref="S90" authorId="0" shapeId="0" xr:uid="{DE7CA5C7-4C95-4D66-AE4C-6894B982876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45</t>
        </r>
      </text>
    </comment>
    <comment ref="S91" authorId="0" shapeId="0" xr:uid="{3F9792D5-F3E7-4EE7-9BB7-BE9CAA0DA96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45</t>
        </r>
      </text>
    </comment>
    <comment ref="R92" authorId="0" shapeId="0" xr:uid="{DDB0C37B-7E7C-47CD-A82E-EF1EF629B2BC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Per Tony Via Text with Kathy 2/25/25</t>
        </r>
      </text>
    </comment>
    <comment ref="R93" authorId="0" shapeId="0" xr:uid="{B8F8EF15-67C4-4CE1-BE8E-562EB4F3E7BD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MMR Raccon/Saylorvill 36.30
MMR Marshalltown 31.25</t>
        </r>
      </text>
    </comment>
    <comment ref="S93" authorId="0" shapeId="0" xr:uid="{45A20CF1-BF47-47ED-824D-28920C5D538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33.50
did not quote marshalltown</t>
        </r>
      </text>
    </comment>
    <comment ref="R94" authorId="0" shapeId="0" xr:uid="{05E1183D-FF51-40D3-80D0-148849449E9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MMR Raccon/Saylorvill 57.35
MMR Marshalltown 57.05</t>
        </r>
      </text>
    </comment>
    <comment ref="S94" authorId="0" shapeId="0" xr:uid="{37C91CDD-F6BF-4014-B4E1-B33AAB6A0A7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33.50
did not quote marshalltown</t>
        </r>
      </text>
    </comment>
    <comment ref="S95" authorId="0" shapeId="0" xr:uid="{FAB013AA-3DBD-486A-86C4-E3C3E2039CB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42
</t>
        </r>
      </text>
    </comment>
    <comment ref="S96" authorId="0" shapeId="0" xr:uid="{6B4C7EF6-3896-4470-B9CC-EC65307A150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42
</t>
        </r>
      </text>
    </comment>
    <comment ref="R97" authorId="0" shapeId="0" xr:uid="{D695864A-35F7-4CA0-9452-15E16B2669C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Holcim 23
MMP 30</t>
        </r>
      </text>
    </comment>
    <comment ref="S97" authorId="0" shapeId="0" xr:uid="{3E7CB1BF-5923-41BC-842F-A09A13C982A2}">
      <text>
        <r>
          <rPr>
            <b/>
            <sz val="9"/>
            <color indexed="81"/>
            <rFont val="Tahoma"/>
            <family val="2"/>
          </rPr>
          <t>Crystal Denman</t>
        </r>
        <r>
          <rPr>
            <sz val="9"/>
            <color indexed="81"/>
            <rFont val="Tahoma"/>
            <family val="2"/>
          </rPr>
          <t xml:space="preserve">
Glaser 71.5</t>
        </r>
      </text>
    </comment>
    <comment ref="R98" authorId="0" shapeId="0" xr:uid="{1D0DA8D8-4BF1-418C-8CC4-6D50355C267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Holcim 26
MMP - 31</t>
        </r>
      </text>
    </comment>
    <comment ref="S98" authorId="0" shapeId="0" xr:uid="{347A52B3-E3A6-4F26-BA46-30CE280A2DD2}">
      <text>
        <r>
          <rPr>
            <b/>
            <sz val="9"/>
            <color indexed="81"/>
            <rFont val="Tahoma"/>
            <family val="2"/>
          </rPr>
          <t>Crystal Denman</t>
        </r>
        <r>
          <rPr>
            <sz val="9"/>
            <color indexed="81"/>
            <rFont val="Tahoma"/>
            <family val="2"/>
          </rPr>
          <t xml:space="preserve">
Glaser 71.5</t>
        </r>
      </text>
    </comment>
    <comment ref="R99" authorId="0" shapeId="0" xr:uid="{0683E4A0-8F31-49D4-8F94-E4A428091BC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Holcim 27
MMP 34.75</t>
        </r>
      </text>
    </comment>
    <comment ref="S99" authorId="0" shapeId="0" xr:uid="{B6BDC7A4-F986-4BF7-AB91-7C73AA16524E}">
      <text>
        <r>
          <rPr>
            <b/>
            <sz val="9"/>
            <color indexed="81"/>
            <rFont val="Tahoma"/>
            <family val="2"/>
          </rPr>
          <t>Crystal Denman</t>
        </r>
        <r>
          <rPr>
            <sz val="9"/>
            <color indexed="81"/>
            <rFont val="Tahoma"/>
            <family val="2"/>
          </rPr>
          <t xml:space="preserve">
Glaser 71.5</t>
        </r>
      </text>
    </comment>
    <comment ref="R129" authorId="0" shapeId="0" xr:uid="{0DDF7412-6364-4C65-AF93-D22EF1AFE90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Via Text with kathy on price and delivery rate 2.25</t>
        </r>
      </text>
    </comment>
    <comment ref="Q138" authorId="0" shapeId="0" xr:uid="{DAA0A216-5396-4CBD-99C0-739BA135659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Q139" authorId="0" shapeId="0" xr:uid="{993DA7FB-8ECE-4592-9E12-74E5FB1F02F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Q140" authorId="0" shapeId="0" xr:uid="{BE1078D3-733E-4E75-A49F-767D17FF6003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154" authorId="0" shapeId="0" xr:uid="{A5A0809D-8E4F-4C1C-B1F2-FA6B7AE93543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Tri Star 39
SRW</t>
        </r>
      </text>
    </comment>
    <comment ref="R156" authorId="0" shapeId="0" xr:uid="{7D2521E4-EB02-4F12-8D4D-A7C89FCB641D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Tri Star 45
SRW</t>
        </r>
      </text>
    </comment>
    <comment ref="R164" authorId="0" shapeId="0" xr:uid="{FE18FFCC-1336-4BBC-88B1-4E8632EB39A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min 64 price</t>
        </r>
      </text>
    </comment>
    <comment ref="R165" authorId="0" shapeId="0" xr:uid="{4C7E46E5-2064-4538-9422-0CC80132DB3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44-1000 level price</t>
        </r>
      </text>
    </comment>
    <comment ref="Q186" authorId="0" shapeId="0" xr:uid="{D1F70965-01E4-44AF-8D14-786217B630C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Lite the Nite:
W-37.80    R-54.00</t>
        </r>
      </text>
    </comment>
    <comment ref="R219" authorId="0" shapeId="0" xr:uid="{9A12D349-9ED7-4B78-89A4-A407E50450AC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Tri Star - 18.45</t>
        </r>
      </text>
    </comment>
    <comment ref="X222" authorId="0" shapeId="0" xr:uid="{EF18B1EA-35B0-4B91-8F62-2AE7FB886AD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offset CC fee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Crystal Denman</author>
    <author>Riley Russell</author>
  </authors>
  <commentList>
    <comment ref="R6" authorId="0" shapeId="0" xr:uid="{AD19E4FC-617C-4B40-B84E-5B5B919A806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Lindley - 95+trucking - texted Kathy 2.12</t>
        </r>
      </text>
    </comment>
    <comment ref="R7" authorId="0" shapeId="0" xr:uid="{CDD837B9-1B9F-40F7-963C-C21D30AA7F7D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Earthworks - 
Monarch - 145/tn + 1200/24=50 trucking
Duro Rock - 208 delivered last year</t>
        </r>
      </text>
    </comment>
    <comment ref="R11" authorId="0" shapeId="0" xr:uid="{0C4B208A-1F2D-4C8D-A8AB-945699372E38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what we paid on the invoice
Now 125 - but leaving it at 180 b/c that's what we paid</t>
        </r>
      </text>
    </comment>
    <comment ref="R13" authorId="0" shapeId="0" xr:uid="{672272B0-14EC-4ECA-B2FB-FF91AB62066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- 160
Stone Spliters - 165</t>
        </r>
      </text>
    </comment>
    <comment ref="R14" authorId="0" shapeId="0" xr:uid="{E9AD85DE-0899-4F84-AA9D-9B11504FA57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- 160
Stone Spliters - 165</t>
        </r>
      </text>
    </comment>
    <comment ref="R15" authorId="0" shapeId="0" xr:uid="{81B7429B-168C-4297-AFC3-47202DC9330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- 160
Stone Spliters - 165</t>
        </r>
      </text>
    </comment>
    <comment ref="R16" authorId="0" shapeId="0" xr:uid="{14C3F918-9D10-41CC-8CDF-FC65B2B6ABC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- 160
Stone Spliters - 165</t>
        </r>
      </text>
    </comment>
    <comment ref="R19" authorId="0" shapeId="0" xr:uid="{63E72F61-6411-4F5B-8178-AE19089E8E2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250+35 Tumbling
</t>
        </r>
      </text>
    </comment>
    <comment ref="R20" authorId="0" shapeId="0" xr:uid="{8E34BFDD-CD45-476D-A99C-5F3CEEAE0AE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280+35 Tumbling</t>
        </r>
      </text>
    </comment>
    <comment ref="R27" authorId="0" shapeId="0" xr:uid="{204C18D9-AC60-42EA-AFB0-9C1CB43C50A8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texted Kathy 2.12 95+trucking</t>
        </r>
      </text>
    </comment>
    <comment ref="R32" authorId="0" shapeId="0" xr:uid="{378D4D49-863D-4E6C-B0C8-00D4B19260F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texted Kathy 2.12 115 + trucking</t>
        </r>
      </text>
    </comment>
    <comment ref="R40" authorId="0" shapeId="0" xr:uid="{972FDF6E-CFE0-460C-91B4-6F41A824C3E6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Riverview - 105
Flint Hills - 100 for mixed load (gray &amp; tan), 105 for buff/tan</t>
        </r>
      </text>
    </comment>
    <comment ref="R46" authorId="0" shapeId="0" xr:uid="{A2051139-7CF4-4F8A-A55E-61AAAAA8E896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205+35 Tumbling
</t>
        </r>
      </text>
    </comment>
    <comment ref="R47" authorId="0" shapeId="0" xr:uid="{6A3C4FAA-D973-45A7-9DA4-9819776CDBD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195+35 Tumbling
</t>
        </r>
      </text>
    </comment>
    <comment ref="R48" authorId="0" shapeId="0" xr:uid="{C4FB5B6E-F726-4DEF-89C8-4AC0350E1C3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235+35 Tumbling</t>
        </r>
      </text>
    </comment>
    <comment ref="R49" authorId="0" shapeId="0" xr:uid="{DD137E12-C987-4204-9E0A-DCE8AE25D46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225+35 Tumbling</t>
        </r>
      </text>
    </comment>
    <comment ref="R51" authorId="0" shapeId="0" xr:uid="{16F961F3-6234-4BAB-AC71-CD9877AD42B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- 150
Stone Spliters - 130</t>
        </r>
      </text>
    </comment>
    <comment ref="R52" authorId="0" shapeId="0" xr:uid="{93450E26-192E-4856-B930-7D9A19F98A2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- 230
Stone Spliters - 210</t>
        </r>
      </text>
    </comment>
    <comment ref="R53" authorId="0" shapeId="0" xr:uid="{0DA3FC47-B1F5-426A-B8C7-8F26AA566448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- 140
Stone Spliters - 120</t>
        </r>
      </text>
    </comment>
    <comment ref="R54" authorId="0" shapeId="0" xr:uid="{2BA9053F-C846-49AD-B69A-5B58B9D9B11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- 220
Stone Spliters - 200</t>
        </r>
      </text>
    </comment>
    <comment ref="R55" authorId="0" shapeId="0" xr:uid="{A7346048-9269-4F69-B9B5-9866F42EB506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- 150
Stone Spliters - 130</t>
        </r>
      </text>
    </comment>
    <comment ref="R56" authorId="0" shapeId="0" xr:uid="{3D0AB678-B21D-4CEB-B267-EC1668233633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- 140
Stone Spliters - 120</t>
        </r>
      </text>
    </comment>
    <comment ref="R57" authorId="0" shapeId="0" xr:uid="{EBA82BD7-D8EF-4237-9862-012DFA5A80DC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- 230
Stone Spliters - 210</t>
        </r>
      </text>
    </comment>
    <comment ref="R58" authorId="0" shapeId="0" xr:uid="{F86C8D60-32E7-4A13-AC7B-83434A20BDAC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- 150
Stone Spliters - 130</t>
        </r>
      </text>
    </comment>
    <comment ref="R59" authorId="0" shapeId="0" xr:uid="{C20C5F6C-D0D6-4AAD-91B0-B5EA4E7ED42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- 230
Stone Spliters - 210</t>
        </r>
      </text>
    </comment>
    <comment ref="R60" authorId="0" shapeId="0" xr:uid="{3BDE9848-D25C-4B98-836F-D333E6962E8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- 140
Stone Spliters - 120</t>
        </r>
      </text>
    </comment>
    <comment ref="R61" authorId="0" shapeId="0" xr:uid="{7A89B551-DA8F-48BD-8851-EEAD0D9F13EB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NSP - 220
Stone Spliters - 200</t>
        </r>
      </text>
    </comment>
    <comment ref="R66" authorId="0" shapeId="0" xr:uid="{042162FA-D7BB-4F43-9315-1CB16EA0935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R68" authorId="1" shapeId="0" xr:uid="{6C1F3F5D-0EAE-4364-9E6C-85B4E04CE94D}">
      <text>
        <r>
          <rPr>
            <b/>
            <sz val="9"/>
            <color indexed="81"/>
            <rFont val="Tahoma"/>
            <family val="2"/>
          </rPr>
          <t>Riley Russell:</t>
        </r>
        <r>
          <rPr>
            <sz val="9"/>
            <color indexed="81"/>
            <rFont val="Tahoma"/>
            <family val="2"/>
          </rPr>
          <t xml:space="preserve">
Priced by sqft based on top of stair tread (18"x48" is 6sqft)</t>
        </r>
      </text>
    </comment>
    <comment ref="R70" authorId="0" shapeId="0" xr:uid="{483987AB-C225-498A-8E86-DF821C20F13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2024
</t>
        </r>
      </text>
    </comment>
    <comment ref="S72" authorId="0" shapeId="0" xr:uid="{95302E32-00EC-4495-BED3-2EDB650D9B5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pallet</t>
        </r>
      </text>
    </comment>
    <comment ref="R75" authorId="0" shapeId="0" xr:uid="{1C09169A-23A3-4A5E-9099-1EAF377E4D9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Hamm Grantville - 32.69
Midstates Big Spring - 33.45
Penny 26.95 + 7 for delivery</t>
        </r>
      </text>
    </comment>
    <comment ref="R76" authorId="0" shapeId="0" xr:uid="{E511CC4C-D7AB-4D7A-9C27-5AE40147EF8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Penny - 16.55 + 5 delivery
Mid States Topeka - 21.70</t>
        </r>
      </text>
    </comment>
    <comment ref="S76" authorId="0" shapeId="0" xr:uid="{9EE37720-12E4-474F-9B00-8E411115C49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Assume Back Hall</t>
        </r>
      </text>
    </comment>
    <comment ref="R77" authorId="0" shapeId="0" xr:uid="{565F30EE-13B2-4BCC-8B01-5A7D1B1AB3B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Penny - 13.80 + 5 delivery
Mid States Topeka - 15.60</t>
        </r>
      </text>
    </comment>
    <comment ref="R78" authorId="0" shapeId="0" xr:uid="{2D223621-828D-49B6-94F9-A15A8ACB2141}">
      <text>
        <r>
          <rPr>
            <b/>
            <sz val="9"/>
            <color indexed="81"/>
            <rFont val="Tahoma"/>
            <charset val="1"/>
          </rPr>
          <t>Crystal Denman:</t>
        </r>
        <r>
          <rPr>
            <sz val="9"/>
            <color indexed="81"/>
            <rFont val="Tahoma"/>
            <charset val="1"/>
          </rPr>
          <t xml:space="preserve">
7% increase 6/1/26</t>
        </r>
      </text>
    </comment>
    <comment ref="S78" authorId="0" shapeId="0" xr:uid="{8B0B583A-459C-4831-84B9-E8DD86F5FF34}">
      <text>
        <r>
          <rPr>
            <b/>
            <sz val="9"/>
            <color indexed="81"/>
            <rFont val="Tahoma"/>
            <charset val="1"/>
          </rPr>
          <t>Crystal Denman:</t>
        </r>
        <r>
          <rPr>
            <sz val="9"/>
            <color indexed="81"/>
            <rFont val="Tahoma"/>
            <charset val="1"/>
          </rPr>
          <t xml:space="preserve">
7.27 +11% fuel surcharge</t>
        </r>
      </text>
    </comment>
    <comment ref="R79" authorId="0" shapeId="0" xr:uid="{CD0F4C9D-CB99-46D3-8EEC-18BEBB7302C3}">
      <text>
        <r>
          <rPr>
            <b/>
            <sz val="9"/>
            <color indexed="81"/>
            <rFont val="Tahoma"/>
            <charset val="1"/>
          </rPr>
          <t>Crystal Denman:</t>
        </r>
        <r>
          <rPr>
            <sz val="9"/>
            <color indexed="81"/>
            <rFont val="Tahoma"/>
            <charset val="1"/>
          </rPr>
          <t xml:space="preserve">
7% increase 6/1/26</t>
        </r>
      </text>
    </comment>
    <comment ref="R80" authorId="0" shapeId="0" xr:uid="{44F24CE3-9203-448D-B724-493133A27E6B}">
      <text>
        <r>
          <rPr>
            <b/>
            <sz val="9"/>
            <color indexed="81"/>
            <rFont val="Tahoma"/>
            <charset val="1"/>
          </rPr>
          <t>Crystal Denman:</t>
        </r>
        <r>
          <rPr>
            <sz val="9"/>
            <color indexed="81"/>
            <rFont val="Tahoma"/>
            <charset val="1"/>
          </rPr>
          <t xml:space="preserve">
7% increase 6/1/26</t>
        </r>
      </text>
    </comment>
    <comment ref="R81" authorId="0" shapeId="0" xr:uid="{091190C4-87F1-45BE-AD2F-A4B15417F9D4}">
      <text>
        <r>
          <rPr>
            <b/>
            <sz val="9"/>
            <color indexed="81"/>
            <rFont val="Tahoma"/>
            <charset val="1"/>
          </rPr>
          <t>Crystal Denman:</t>
        </r>
        <r>
          <rPr>
            <sz val="9"/>
            <color indexed="81"/>
            <rFont val="Tahoma"/>
            <charset val="1"/>
          </rPr>
          <t xml:space="preserve">
7% increase 6/1/26</t>
        </r>
      </text>
    </comment>
    <comment ref="R82" authorId="0" shapeId="0" xr:uid="{D18F7782-D0EF-4E07-9F3E-6A0CF3C3005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Penny +delivery
Mid States Big Springs -38.20</t>
        </r>
      </text>
    </comment>
    <comment ref="R84" authorId="0" shapeId="0" xr:uid="{BBBC42C0-1EBE-4BF7-A531-D23258D7BD06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ACA - 40
Butala 39.50
Monarch 119</t>
        </r>
      </text>
    </comment>
    <comment ref="R85" authorId="0" shapeId="0" xr:uid="{6E3D1011-6073-478B-AFD4-409B411EAE8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Holliday 42.40+1.50 for 2026?
MCM 26.70 + 6 delivered (32.70)</t>
        </r>
      </text>
    </comment>
    <comment ref="R86" authorId="0" shapeId="0" xr:uid="{E2574D55-4320-4412-B8ED-AEA10C8580E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Kaw 
Holliday $53.20
but $30 for the rest of 2025 - going up 1.50 for 2026 so 31.50
MCM 65 + 6 delivered</t>
        </r>
      </text>
    </comment>
    <comment ref="Q87" authorId="0" shapeId="0" xr:uid="{AEFA3533-265F-4A86-BD98-F934FFB548F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Kaw 3-6 is their 2-4 Dan says same product- reached out to Dean Andrews</t>
        </r>
      </text>
    </comment>
    <comment ref="R87" authorId="0" shapeId="0" xr:uid="{0E546D7A-A7BA-425D-910E-444D907A442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correct per Dan 1.29.26</t>
        </r>
      </text>
    </comment>
    <comment ref="S87" authorId="0" shapeId="0" xr:uid="{1F1A2F1A-CE55-4644-8CE2-EE009CCE94E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approximate zone 2 per tn</t>
        </r>
      </text>
    </comment>
    <comment ref="R88" authorId="0" shapeId="0" xr:uid="{7C25E16A-169C-47E1-AA15-E31541CD3D69}">
      <text>
        <r>
          <rPr>
            <b/>
            <sz val="9"/>
            <color indexed="81"/>
            <rFont val="Tahoma"/>
            <charset val="1"/>
          </rPr>
          <t>Crystal Denman:</t>
        </r>
        <r>
          <rPr>
            <sz val="9"/>
            <color indexed="81"/>
            <rFont val="Tahoma"/>
            <charset val="1"/>
          </rPr>
          <t xml:space="preserve">
150 starting end of April</t>
        </r>
      </text>
    </comment>
    <comment ref="S90" authorId="0" shapeId="0" xr:uid="{5EC2DAC8-2803-4378-A31B-017084E33B0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46.8</t>
        </r>
      </text>
    </comment>
    <comment ref="S91" authorId="0" shapeId="0" xr:uid="{431FB599-EE49-4943-B967-54A2F209056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46.8</t>
        </r>
      </text>
    </comment>
    <comment ref="R92" authorId="0" shapeId="0" xr:uid="{38FA8FC9-4465-4987-A955-922F113FCB6C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Per Tony Via Text with Kathy 1/5/26</t>
        </r>
      </text>
    </comment>
    <comment ref="R93" authorId="0" shapeId="0" xr:uid="{F20CDBBF-FFE4-49B5-9F96-9BAC3A3F93AA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MMR Raccon/Saylorvill 36.80
MMR Marshalltown 33.25</t>
        </r>
      </text>
    </comment>
    <comment ref="S93" authorId="0" shapeId="0" xr:uid="{64802F89-32AA-4B63-9A9B-58927CBB23EB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33.50
did not quote marshalltown</t>
        </r>
      </text>
    </comment>
    <comment ref="R94" authorId="0" shapeId="0" xr:uid="{A1653ACC-8792-4803-8725-FAAFC51FC0A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MMR Raccon/Saylorvill 62.30
MMR Marshalltown 62</t>
        </r>
      </text>
    </comment>
    <comment ref="S94" authorId="0" shapeId="0" xr:uid="{7930C1E4-0819-40DB-934B-6EAF23AA48C0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33.50
did not quote marshalltown</t>
        </r>
      </text>
    </comment>
    <comment ref="S95" authorId="0" shapeId="0" xr:uid="{3D84AB1F-AA6D-4A42-99E1-28B90D57D11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42
</t>
        </r>
      </text>
    </comment>
    <comment ref="S96" authorId="0" shapeId="0" xr:uid="{B6CACA61-2812-4901-B0F3-2CC41957107B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Glaser 42
</t>
        </r>
      </text>
    </comment>
    <comment ref="R97" authorId="0" shapeId="0" xr:uid="{5CDDCF7E-F0F9-49CE-ACC6-7F0BA939BBF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Amrize 26
MMP 32</t>
        </r>
      </text>
    </comment>
    <comment ref="S97" authorId="0" shapeId="0" xr:uid="{46818D70-2806-4C13-952A-460D5CCACE38}">
      <text>
        <r>
          <rPr>
            <b/>
            <sz val="9"/>
            <color indexed="81"/>
            <rFont val="Tahoma"/>
            <family val="2"/>
          </rPr>
          <t>Crystal Denman</t>
        </r>
        <r>
          <rPr>
            <sz val="9"/>
            <color indexed="81"/>
            <rFont val="Tahoma"/>
            <family val="2"/>
          </rPr>
          <t xml:space="preserve">
Glaser 71.5</t>
        </r>
      </text>
    </comment>
    <comment ref="R98" authorId="0" shapeId="0" xr:uid="{46077CB4-1540-4715-A193-3285D95A83F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Amrize 28.50
MMP - 33
</t>
        </r>
      </text>
    </comment>
    <comment ref="S98" authorId="0" shapeId="0" xr:uid="{85BD7A4F-22EE-445F-8AED-061C0E24BC7B}">
      <text>
        <r>
          <rPr>
            <b/>
            <sz val="9"/>
            <color indexed="81"/>
            <rFont val="Tahoma"/>
            <family val="2"/>
          </rPr>
          <t>Crystal Denman</t>
        </r>
        <r>
          <rPr>
            <sz val="9"/>
            <color indexed="81"/>
            <rFont val="Tahoma"/>
            <family val="2"/>
          </rPr>
          <t xml:space="preserve">
Glaser 71.5</t>
        </r>
      </text>
    </comment>
    <comment ref="R99" authorId="0" shapeId="0" xr:uid="{64152BBE-F354-46BF-9890-9DC958B2031E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Amrize 29
MMP 34.75 
</t>
        </r>
      </text>
    </comment>
    <comment ref="S99" authorId="0" shapeId="0" xr:uid="{617EAFA6-2B4F-410E-B274-24938888DBAB}">
      <text>
        <r>
          <rPr>
            <b/>
            <sz val="9"/>
            <color indexed="81"/>
            <rFont val="Tahoma"/>
            <family val="2"/>
          </rPr>
          <t>Crystal Denman</t>
        </r>
        <r>
          <rPr>
            <sz val="9"/>
            <color indexed="81"/>
            <rFont val="Tahoma"/>
            <family val="2"/>
          </rPr>
          <t xml:space="preserve">
Glaser 71.5</t>
        </r>
      </text>
    </comment>
    <comment ref="S100" authorId="0" shapeId="0" xr:uid="{A669F5A4-E1C8-4BD1-9B1C-60D067EF61A6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Energy charge - estimating up to $1 FSC</t>
        </r>
      </text>
    </comment>
    <comment ref="Q137" authorId="0" shapeId="0" xr:uid="{438BECDD-D5C2-4F54-BC80-B65D1D054374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137" authorId="0" shapeId="0" xr:uid="{ABCAECAD-7419-4106-81B2-4D5CC6CAACFB}">
      <text>
        <r>
          <rPr>
            <b/>
            <sz val="9"/>
            <color indexed="81"/>
            <rFont val="Tahoma"/>
            <charset val="1"/>
          </rPr>
          <t>Crystal Denman:</t>
        </r>
        <r>
          <rPr>
            <sz val="9"/>
            <color indexed="81"/>
            <rFont val="Tahoma"/>
            <charset val="1"/>
          </rPr>
          <t xml:space="preserve">
Phillips fsc est as $1</t>
        </r>
      </text>
    </comment>
    <comment ref="Q138" authorId="0" shapeId="0" xr:uid="{DE07BE30-A4BF-4D42-8F7B-021D70B96B6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138" authorId="0" shapeId="0" xr:uid="{E487E3A3-8055-4869-8520-49EB0DD0486E}">
      <text>
        <r>
          <rPr>
            <b/>
            <sz val="9"/>
            <color indexed="81"/>
            <rFont val="Tahoma"/>
            <charset val="1"/>
          </rPr>
          <t>Crystal Denman:</t>
        </r>
        <r>
          <rPr>
            <sz val="9"/>
            <color indexed="81"/>
            <rFont val="Tahoma"/>
            <charset val="1"/>
          </rPr>
          <t xml:space="preserve">
Phillips fsc est as $1</t>
        </r>
      </text>
    </comment>
    <comment ref="Q139" authorId="0" shapeId="0" xr:uid="{91D05924-7150-4530-94F5-A073691BC6B2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same as last year</t>
        </r>
      </text>
    </comment>
    <comment ref="R139" authorId="0" shapeId="0" xr:uid="{2B06AFD0-9DC4-4276-B3BE-AC75CE6F8EBA}">
      <text>
        <r>
          <rPr>
            <b/>
            <sz val="9"/>
            <color indexed="81"/>
            <rFont val="Tahoma"/>
            <charset val="1"/>
          </rPr>
          <t>Crystal Denman:</t>
        </r>
        <r>
          <rPr>
            <sz val="9"/>
            <color indexed="81"/>
            <rFont val="Tahoma"/>
            <charset val="1"/>
          </rPr>
          <t xml:space="preserve">
Phillips fsc est as $1</t>
        </r>
      </text>
    </comment>
    <comment ref="R141" authorId="1" shapeId="0" xr:uid="{CD1842F7-171E-4F06-AA8E-C15962FF4051}">
      <text>
        <r>
          <rPr>
            <b/>
            <sz val="9"/>
            <color indexed="81"/>
            <rFont val="Tahoma"/>
            <family val="2"/>
          </rPr>
          <t>Riley Russell:</t>
        </r>
        <r>
          <rPr>
            <sz val="9"/>
            <color indexed="81"/>
            <rFont val="Tahoma"/>
            <family val="2"/>
          </rPr>
          <t xml:space="preserve">
Green Seed 28.25
</t>
        </r>
      </text>
    </comment>
    <comment ref="R153" authorId="1" shapeId="0" xr:uid="{2451F22A-EEF9-4FAA-9596-D9E4D69F0EB8}">
      <text>
        <r>
          <rPr>
            <b/>
            <sz val="9"/>
            <color indexed="81"/>
            <rFont val="Tahoma"/>
            <family val="2"/>
          </rPr>
          <t>Riley Russell:</t>
        </r>
        <r>
          <rPr>
            <sz val="9"/>
            <color indexed="81"/>
            <rFont val="Tahoma"/>
            <family val="2"/>
          </rPr>
          <t xml:space="preserve">
SRW - Market Price
Green Seed -</t>
        </r>
      </text>
    </comment>
    <comment ref="R155" authorId="1" shapeId="0" xr:uid="{F559C861-A86F-43E3-A9CB-BE1B5AF15AD0}">
      <text>
        <r>
          <rPr>
            <b/>
            <sz val="9"/>
            <color indexed="81"/>
            <rFont val="Tahoma"/>
            <family val="2"/>
          </rPr>
          <t>Riley Russell:</t>
        </r>
        <r>
          <rPr>
            <sz val="9"/>
            <color indexed="81"/>
            <rFont val="Tahoma"/>
            <family val="2"/>
          </rPr>
          <t xml:space="preserve">
SRW - Market Price
Green Seed - $45.00
</t>
        </r>
      </text>
    </comment>
    <comment ref="R156" authorId="1" shapeId="0" xr:uid="{331378E2-2D07-4C4B-9D0A-B8727B3090E2}">
      <text>
        <r>
          <rPr>
            <b/>
            <sz val="9"/>
            <color indexed="81"/>
            <rFont val="Tahoma"/>
            <family val="2"/>
          </rPr>
          <t>Riley Russell:</t>
        </r>
        <r>
          <rPr>
            <sz val="9"/>
            <color indexed="81"/>
            <rFont val="Tahoma"/>
            <family val="2"/>
          </rPr>
          <t xml:space="preserve">
SRW - 59.95
Green Seed - $35.00</t>
        </r>
      </text>
    </comment>
    <comment ref="R160" authorId="0" shapeId="0" xr:uid="{4B6364C4-00F2-415C-B64C-612557A468A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Prebuy price 2026
</t>
        </r>
      </text>
    </comment>
    <comment ref="R161" authorId="0" shapeId="0" xr:uid="{69DA01E6-142C-473A-9397-CE40D18FE6E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min 64 price</t>
        </r>
      </text>
    </comment>
    <comment ref="R162" authorId="0" shapeId="0" xr:uid="{A1295B89-C192-4913-B5C2-71FBC1727E37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off of Prebuy carton price</t>
        </r>
      </text>
    </comment>
    <comment ref="Q183" authorId="0" shapeId="0" xr:uid="{1F447E40-DEB5-4E89-BE29-2DA1C23BB329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Lite the Nite:
W-37.80    R-54.00</t>
        </r>
      </text>
    </comment>
    <comment ref="S186" authorId="0" shapeId="0" xr:uid="{B35A4243-5B53-4E19-B141-AD906CF67365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trucking based on 850/900 sticks </t>
        </r>
      </text>
    </comment>
    <comment ref="R215" authorId="0" shapeId="0" xr:uid="{45DA965E-074C-45A6-8C4A-ECC1F68E46B3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Tri Star - 18.45</t>
        </r>
      </text>
    </comment>
    <comment ref="X218" authorId="0" shapeId="0" xr:uid="{486E3E32-6207-4AC5-B2C0-A05D4C1A893F}">
      <text>
        <r>
          <rPr>
            <b/>
            <sz val="9"/>
            <color indexed="81"/>
            <rFont val="Tahoma"/>
            <family val="2"/>
          </rPr>
          <t>Crystal Denman:</t>
        </r>
        <r>
          <rPr>
            <sz val="9"/>
            <color indexed="81"/>
            <rFont val="Tahoma"/>
            <family val="2"/>
          </rPr>
          <t xml:space="preserve">
offset CC fee</t>
        </r>
      </text>
    </comment>
  </commentList>
</comments>
</file>

<file path=xl/sharedStrings.xml><?xml version="1.0" encoding="utf-8"?>
<sst xmlns="http://schemas.openxmlformats.org/spreadsheetml/2006/main" count="4037" uniqueCount="828">
  <si>
    <t>RETAIL PRICE</t>
  </si>
  <si>
    <t>BRONZE PARTNER (3%)</t>
  </si>
  <si>
    <t>SILVER / GOLD PARTNER (5%)</t>
  </si>
  <si>
    <t>DIAMOND / PLATINUM PARTNER (6%)</t>
  </si>
  <si>
    <t>PRO PARTNER</t>
  </si>
  <si>
    <t>Bin Number</t>
  </si>
  <si>
    <t>Boulders</t>
  </si>
  <si>
    <t>B1</t>
  </si>
  <si>
    <t>B2</t>
  </si>
  <si>
    <t>B3</t>
  </si>
  <si>
    <t>B4</t>
  </si>
  <si>
    <t>B5</t>
  </si>
  <si>
    <t>B6</t>
  </si>
  <si>
    <t>Weathered Limestone Boulders/Ledge</t>
  </si>
  <si>
    <t>ton</t>
  </si>
  <si>
    <t>Mossy Mountain Boulders</t>
  </si>
  <si>
    <t>Glacial Boulders</t>
  </si>
  <si>
    <t>Cobalt Black Granite Boulders</t>
  </si>
  <si>
    <t>Meridian Red Boulders</t>
  </si>
  <si>
    <t>Colorado River Boulders</t>
  </si>
  <si>
    <t>Stone Edging/Full Depth Veneer</t>
  </si>
  <si>
    <t>Sold By</t>
  </si>
  <si>
    <t>Kansas Cream Edging</t>
  </si>
  <si>
    <t>Longhorn Ridge 4x4 Edging</t>
  </si>
  <si>
    <t>Cottonwood Tumbled 3.5"x4"</t>
  </si>
  <si>
    <t>Silverdale 3.5"x4"</t>
  </si>
  <si>
    <t>Blackhills Rustic Edging</t>
  </si>
  <si>
    <t>Blue-Brown Edging</t>
  </si>
  <si>
    <t>Specialty Rock</t>
  </si>
  <si>
    <t>Mexican Beach Pebbles</t>
  </si>
  <si>
    <t>Kewanee Creek Flats 1-2" x 4-7"</t>
  </si>
  <si>
    <t>Kewanee Creek Flats 1-3" x 4-12"</t>
  </si>
  <si>
    <t>Mini Moss Boulders</t>
  </si>
  <si>
    <t>Cobalt Black Granite Cobbles 2-8"</t>
  </si>
  <si>
    <t>Natural Wall</t>
  </si>
  <si>
    <t>Longhorn Ridge 4x6 Chop</t>
  </si>
  <si>
    <t>Weathered Fieldstone</t>
  </si>
  <si>
    <t>Kansas Fieldstone</t>
  </si>
  <si>
    <t>EW Gold Random Wall</t>
  </si>
  <si>
    <t>Blackhill Rustic Builders</t>
  </si>
  <si>
    <t>6" Wall Block</t>
  </si>
  <si>
    <t>9" Wall Block</t>
  </si>
  <si>
    <t>14" Wall Block</t>
  </si>
  <si>
    <t>Drystack</t>
  </si>
  <si>
    <t>Silverdale 3.5"x8"</t>
  </si>
  <si>
    <t>Silverdale 5"x9"</t>
  </si>
  <si>
    <t>Cottonwood Tumbled 3.5"x8"</t>
  </si>
  <si>
    <t>Cottonwood Tumbled 5"x9"</t>
  </si>
  <si>
    <t>Midwest Gray 6" Chop</t>
  </si>
  <si>
    <t>Flagstone</t>
  </si>
  <si>
    <t>Colorado Red Patio 1-1.5"</t>
  </si>
  <si>
    <t>Blue-Brown 1.5"</t>
  </si>
  <si>
    <t>Blue-Brown 1.5" Premium</t>
  </si>
  <si>
    <t>Blue-Brown 2.5"</t>
  </si>
  <si>
    <t>Blue-Brown 2.5" Premium</t>
  </si>
  <si>
    <t>Lanavac Gray 1.5"</t>
  </si>
  <si>
    <t>Lanavac Gray 2.5"</t>
  </si>
  <si>
    <t xml:space="preserve">Lanavac Gray Premium </t>
  </si>
  <si>
    <t>Blackhills Rustic 1.5" Patio</t>
  </si>
  <si>
    <t>Blackhills Rustic 1.5" Premium</t>
  </si>
  <si>
    <t>Blackhills Rustic 2.5" Patio</t>
  </si>
  <si>
    <t>Blackhills Rustic 2.5" Premium</t>
  </si>
  <si>
    <t>Longhorn Ridge 1.5" Patio</t>
  </si>
  <si>
    <t>Longhorn Ridge 1.5" Premium</t>
  </si>
  <si>
    <t>Longhorn Ridge 2.5" Patio</t>
  </si>
  <si>
    <t>Longhorn Ridge 2.5 Premium</t>
  </si>
  <si>
    <t>Stair Treads</t>
  </si>
  <si>
    <t>Blackhills Rustic Chopped</t>
  </si>
  <si>
    <t>Midwest Gray 7" Stair Tread</t>
  </si>
  <si>
    <t>Cottonwood Stair Tread</t>
  </si>
  <si>
    <t>Bulk Bags - Mulch, Soil, Compost, Gravels</t>
  </si>
  <si>
    <t>Bulk Bag Fee</t>
  </si>
  <si>
    <t>Tote Bag</t>
  </si>
  <si>
    <t>Construction Gravels</t>
  </si>
  <si>
    <t>1/4" Chip</t>
  </si>
  <si>
    <t>Masonry Sand</t>
  </si>
  <si>
    <t>Clean Fill Sand</t>
  </si>
  <si>
    <t>1.5" Washed Rock</t>
  </si>
  <si>
    <t>3/4" Washed Rock</t>
  </si>
  <si>
    <t>Pit Fines</t>
  </si>
  <si>
    <t>AB3</t>
  </si>
  <si>
    <t>Ditch Rock 3-6"</t>
  </si>
  <si>
    <t>Decorative Gravels</t>
  </si>
  <si>
    <t>Salt &amp; Pepper 1.5"</t>
  </si>
  <si>
    <t>Kansas Pea Gravel</t>
  </si>
  <si>
    <t>Kansas River Rock 1.5"</t>
  </si>
  <si>
    <t>Kansas River Rock 2-4"</t>
  </si>
  <si>
    <t>Cobalt Black 1"</t>
  </si>
  <si>
    <t>Crusher Fines</t>
  </si>
  <si>
    <t>Sandsage River Rock 1.5"</t>
  </si>
  <si>
    <t>Oklahoma Aztec Pea Gravel</t>
  </si>
  <si>
    <t xml:space="preserve">Red Cherokee 1.5" </t>
  </si>
  <si>
    <t>Missouri Rainbow 1"</t>
  </si>
  <si>
    <t>Missouri Rainbow 2"</t>
  </si>
  <si>
    <t>Meramec 1.5"</t>
  </si>
  <si>
    <t>Colorado River Rock 1.5"</t>
  </si>
  <si>
    <t>Colorado River Rock 2-4"</t>
  </si>
  <si>
    <t>Colorado River Rock 4-8"</t>
  </si>
  <si>
    <t>Ledgestone CE Coping (Gray or Buff)</t>
  </si>
  <si>
    <t>Ledgestone Coping (Gray or Buff)</t>
  </si>
  <si>
    <t>Architectural Coping (Gray or Buff)</t>
  </si>
  <si>
    <t>Ledgestone Pillar Cap 28x28x4 (Gray or Buff)</t>
  </si>
  <si>
    <t>Ledgestone Pillar Cap 24x24x4 (Gray or Buff)</t>
  </si>
  <si>
    <t>Copthorne - Red, Basalt, Blue (.15 sqft each)</t>
  </si>
  <si>
    <t>Weston Universal (Brittany Beige)</t>
  </si>
  <si>
    <t>Weston Universal (Black Diamond)</t>
  </si>
  <si>
    <t>Veneer</t>
  </si>
  <si>
    <t>Porcelain Pavers</t>
  </si>
  <si>
    <t xml:space="preserve">   24x24x3/4" (2cm) - Large selection of colors</t>
  </si>
  <si>
    <t>Topsoil</t>
  </si>
  <si>
    <t>Pulverized Black Gold Topsoil</t>
  </si>
  <si>
    <t>Planting Mix: BG topsoil/compost/sand</t>
  </si>
  <si>
    <t>Nature's Finest Compost</t>
  </si>
  <si>
    <t>Unpulverized: sticks, rocks, clods, debris</t>
  </si>
  <si>
    <t>Mulch</t>
  </si>
  <si>
    <t>Hardwood</t>
  </si>
  <si>
    <t>Ground Bark</t>
  </si>
  <si>
    <t>Licorice</t>
  </si>
  <si>
    <t>Cocoa</t>
  </si>
  <si>
    <t>Coffee</t>
  </si>
  <si>
    <t>Pine Bark</t>
  </si>
  <si>
    <t>Pine Bark Chips</t>
  </si>
  <si>
    <t>Landscape Accessories</t>
  </si>
  <si>
    <t>Straw Blanket - Single Sided - 100sqyds 8'x112.5'</t>
  </si>
  <si>
    <t>Silt Soxx - 8"x160ft - w/ stakes</t>
  </si>
  <si>
    <t xml:space="preserve">Silt Soxx - 8"x10ft </t>
  </si>
  <si>
    <t>20 YR 3x50 Premium Landscape Fabric</t>
  </si>
  <si>
    <t>20 YR 4x300 Silver Elite General Landscape Fabric</t>
  </si>
  <si>
    <t>20 YR 6x300 Silver Elite General Landscape Fabric</t>
  </si>
  <si>
    <t>25 YR BULK 4x250 Premium Landscape Fabric</t>
  </si>
  <si>
    <t>25 YR BULK 6x250 Premium Landscape Fabric</t>
  </si>
  <si>
    <t>6x100 SS5 Stabilization Fabric</t>
  </si>
  <si>
    <t>4x50 Landscape/Filter Fabric 3.0</t>
  </si>
  <si>
    <t>6x300 Drainage/Filter Fabric 4.5</t>
  </si>
  <si>
    <t>6" Sod/Anchor Pins - 1000 count</t>
  </si>
  <si>
    <t>6" Anchor Pins - 20 count</t>
  </si>
  <si>
    <t>Circle Top Pins - 1000 count</t>
  </si>
  <si>
    <t>Hardscape Accessories</t>
  </si>
  <si>
    <t>Gator Base - 5.79 sqft</t>
  </si>
  <si>
    <t>Paver Rail 7'8" Stick - Flex/Rigid</t>
  </si>
  <si>
    <t>Pave Edge Paver Rail - 7' Stick</t>
  </si>
  <si>
    <t>10" Spikes - 50 lb (single=$0.60 each)</t>
  </si>
  <si>
    <t>Structure Bond - 24 oz</t>
  </si>
  <si>
    <t>Structure Bond Gun</t>
  </si>
  <si>
    <t>Structure Bond Gun Cleaner</t>
  </si>
  <si>
    <t>GatorDust Gray - 50 lbs</t>
  </si>
  <si>
    <t>GatorDust Beige - 50 lbs</t>
  </si>
  <si>
    <t>SRW Adhesive - 10 oz</t>
  </si>
  <si>
    <t>SRW Adhesive - 28 oz</t>
  </si>
  <si>
    <t>SRW Vertical Instant Lock - 9.5 oz</t>
  </si>
  <si>
    <t>Medium SlabGrabber</t>
  </si>
  <si>
    <t>Paver Paw</t>
  </si>
  <si>
    <t>Paver Extractor</t>
  </si>
  <si>
    <t>Paver Mallet</t>
  </si>
  <si>
    <t>Pin Pounder</t>
  </si>
  <si>
    <t>Gamma Ray Up Light</t>
  </si>
  <si>
    <t>FlexLED 2 Watt Bulb</t>
  </si>
  <si>
    <t>Neutron Area Light (2 watt)</t>
  </si>
  <si>
    <t>ISO Ledge Light</t>
  </si>
  <si>
    <t>Satellite HUB</t>
  </si>
  <si>
    <t>SNPC2 Photocell</t>
  </si>
  <si>
    <t>Interior Manual Timer</t>
  </si>
  <si>
    <t>150W LED Transformer</t>
  </si>
  <si>
    <t>60W Transformer</t>
  </si>
  <si>
    <t>Manufactured Edging Materials</t>
  </si>
  <si>
    <t>Steel Edging Stake - Green or Brown</t>
  </si>
  <si>
    <t>Steel Edging - 2' Easy-Bend Section w/ stakes</t>
  </si>
  <si>
    <t>Steel Edging - 4' Edging Section w/ stakes</t>
  </si>
  <si>
    <t>Steel Edging - Corner Stake - Green or Brown</t>
  </si>
  <si>
    <t>Steel Edging - End Piece w/ stakes - Green or Brown</t>
  </si>
  <si>
    <t>Steel Edging - End Stake - Green or Brown</t>
  </si>
  <si>
    <t>Steel Edging - Splicing Stake - Green or Brown</t>
  </si>
  <si>
    <t>Steel Edging - Tree Ring Section w/ stakes</t>
  </si>
  <si>
    <t>Steel Edging - 25' Roll, Vinyl Trim Cap</t>
  </si>
  <si>
    <t>Grass Seed</t>
  </si>
  <si>
    <t>Tri Star Fescue 50 lbs</t>
  </si>
  <si>
    <t>Tri Star Fescue 25 lbs</t>
  </si>
  <si>
    <t>Tri Star Fescue 5 lbs</t>
  </si>
  <si>
    <t>Tri Star Less Water 50 lbs</t>
  </si>
  <si>
    <t>Landscaper's Mix 50 lbs</t>
  </si>
  <si>
    <t>Lawn Care</t>
  </si>
  <si>
    <t>Fertilizer w/ Dimension</t>
  </si>
  <si>
    <t>Fertilizer w/ Merit</t>
  </si>
  <si>
    <t>Fertilizer w/ Iron</t>
  </si>
  <si>
    <t>Starter Fertilizer</t>
  </si>
  <si>
    <t>Sod - Fescue OR Bluegrass - Roll = 24"x4'6"</t>
  </si>
  <si>
    <t>1 Roll = 1 Square Yard</t>
  </si>
  <si>
    <t>Pallet Deposit - refund w/ receipt</t>
  </si>
  <si>
    <t>each</t>
  </si>
  <si>
    <t>per bag</t>
  </si>
  <si>
    <t xml:space="preserve">   Manufactured Veneer - All Lines - Flats/SF</t>
  </si>
  <si>
    <t xml:space="preserve">   Manufactured Veneer - All Lines - Corners/LN</t>
  </si>
  <si>
    <t>cu yd</t>
  </si>
  <si>
    <t>roll</t>
  </si>
  <si>
    <t>box</t>
  </si>
  <si>
    <t>pack</t>
  </si>
  <si>
    <t>bag</t>
  </si>
  <si>
    <t>50 lb bag</t>
  </si>
  <si>
    <t>sq yd</t>
  </si>
  <si>
    <t>pallet</t>
  </si>
  <si>
    <t>yard</t>
  </si>
  <si>
    <t>SEK Tan Extreme Wide Joint Polysweep</t>
  </si>
  <si>
    <t>SEK Platinum Extreme Wide Joint Polysweep</t>
  </si>
  <si>
    <t>SEK Black Extreme Wide Joint Polysweep</t>
  </si>
  <si>
    <t>SEK Edge Crete</t>
  </si>
  <si>
    <t>Product</t>
  </si>
  <si>
    <t>Mesa Grey</t>
  </si>
  <si>
    <t>2023 PLC Member Pricing Partner Levels</t>
  </si>
  <si>
    <t>SRW Series3 GeoGrid - 6x150</t>
  </si>
  <si>
    <t>300W LED Transformer</t>
  </si>
  <si>
    <t>*</t>
  </si>
  <si>
    <t>* Call for Pricing &amp; Availability</t>
  </si>
  <si>
    <t>Cedar</t>
  </si>
  <si>
    <t xml:space="preserve">   Eco Series - Pewter Column Caps</t>
  </si>
  <si>
    <t xml:space="preserve">   Eco Series - Pewter Sills</t>
  </si>
  <si>
    <t xml:space="preserve">   Eco Series - Quarry FLATS</t>
  </si>
  <si>
    <t>Sq Ft</t>
  </si>
  <si>
    <t xml:space="preserve">   Eco Series - Quarry CORNERS</t>
  </si>
  <si>
    <t xml:space="preserve">   Eco Series - Vieux FLATS</t>
  </si>
  <si>
    <t xml:space="preserve">   Eco Series - Vieux CORNERS</t>
  </si>
  <si>
    <t xml:space="preserve">   Eco Series - Wood FLATS</t>
  </si>
  <si>
    <t xml:space="preserve">   Eco Series - Wood CORNERS</t>
  </si>
  <si>
    <t>Each</t>
  </si>
  <si>
    <t>Ln Ft</t>
  </si>
  <si>
    <t>Natural Stone Veneer by Earthworks - IN STOCK ITEMS NOTED BELOW. For full line, consult Earthworks Price Guide, PLC Show Room, or PLC Representative.</t>
  </si>
  <si>
    <r>
      <t xml:space="preserve">Manufactured Veneer by Stone Creek Midwest - </t>
    </r>
    <r>
      <rPr>
        <b/>
        <sz val="8"/>
        <rFont val="Calibri"/>
        <family val="2"/>
        <scheme val="minor"/>
      </rPr>
      <t>Currently No In Stock Items. Visit PLC Show Room to View Carry Boards or Visit with a PLC Representative for Pricing.</t>
    </r>
  </si>
  <si>
    <r>
      <t xml:space="preserve">Xteriors by DalTile - </t>
    </r>
    <r>
      <rPr>
        <b/>
        <sz val="8"/>
        <rFont val="Calibri"/>
        <family val="2"/>
        <scheme val="minor"/>
      </rPr>
      <t>Currently No In Stock Items. Visit PLC Show Room to View Samples, Request a DalTime Price Guide, or Visit with a PLC Representative.</t>
    </r>
  </si>
  <si>
    <r>
      <t xml:space="preserve">Manufactured Block - IN STOCK ITEMS BELOW | </t>
    </r>
    <r>
      <rPr>
        <b/>
        <sz val="8"/>
        <rFont val="Calibri"/>
        <family val="2"/>
        <scheme val="minor"/>
      </rPr>
      <t>For Full Product Lines from Belgard, Unilock, Versa-Lok, Midwest Block, ask PLC Representative for Full Price Guides.</t>
    </r>
  </si>
  <si>
    <t>Large Meramec</t>
  </si>
  <si>
    <t>Lighting</t>
  </si>
  <si>
    <t>14/2 Low Voltage Wire 50 Ft</t>
  </si>
  <si>
    <t>Drainage</t>
  </si>
  <si>
    <t>4” 100 Ft Drain Pipe PERFORATED</t>
  </si>
  <si>
    <t>4” 100 Ft Drain Pipe PERFORATED with SOCK</t>
  </si>
  <si>
    <t>4” 100 Ft Drain Pipe SOLID</t>
  </si>
  <si>
    <t xml:space="preserve">2x3x4” Downspout Adapter </t>
  </si>
  <si>
    <t>3x4x4” Downspout Adapter</t>
  </si>
  <si>
    <t>6” Round Basin w/ 1 Outlet</t>
  </si>
  <si>
    <t>6” Round Basin Grate (Green)</t>
  </si>
  <si>
    <t>4” Internal Coupler</t>
  </si>
  <si>
    <t>Pipe Wrap Tape</t>
  </si>
  <si>
    <t>4" PVC to Corrugated Adapter</t>
  </si>
  <si>
    <t>4" Pop Up Emitter with Elbow and Hub</t>
  </si>
  <si>
    <t>4" Pop Up Emitter Only</t>
  </si>
  <si>
    <t>4" Pop Up Emitter with Elbow</t>
  </si>
  <si>
    <t>4” Poly Drain 90’ Elbow</t>
  </si>
  <si>
    <t>4" Poly Drain Wye</t>
  </si>
  <si>
    <t>4" Poly Drain Tee</t>
  </si>
  <si>
    <t>Fertilizer - Weed &amp; Feed  / TRIMEC</t>
  </si>
  <si>
    <t>40 lb bag</t>
  </si>
  <si>
    <t>Gray Variegated Tumbled 3.5" x 8"</t>
  </si>
  <si>
    <t>Gray Variegated Tumbled 5" x 9"</t>
  </si>
  <si>
    <t>Steel Edging - 10' Stick - 14 Ga. - Green, Brown, Black</t>
  </si>
  <si>
    <t>2023 Retail</t>
  </si>
  <si>
    <t>2023 Wholesale</t>
  </si>
  <si>
    <t>Vendor/Cost Lists</t>
  </si>
  <si>
    <t>Cost</t>
  </si>
  <si>
    <t>Trucking</t>
  </si>
  <si>
    <t>Fuel Charge</t>
  </si>
  <si>
    <t>Total Cost</t>
  </si>
  <si>
    <t>Waste Factor</t>
  </si>
  <si>
    <t>Credit Card %</t>
  </si>
  <si>
    <t>Pine Cost</t>
  </si>
  <si>
    <t>Wholesale Mark Up</t>
  </si>
  <si>
    <t>2024 Retail</t>
  </si>
  <si>
    <t>2024 Wholesale</t>
  </si>
  <si>
    <t>Retail Markup</t>
  </si>
  <si>
    <t>Monarch/Pioneer</t>
  </si>
  <si>
    <r>
      <t>Pioneer/Monarch/</t>
    </r>
    <r>
      <rPr>
        <sz val="9"/>
        <color rgb="FFFF0000"/>
        <rFont val="Calibri"/>
        <family val="2"/>
        <scheme val="minor"/>
      </rPr>
      <t>Earthworks</t>
    </r>
  </si>
  <si>
    <r>
      <rPr>
        <sz val="9"/>
        <color rgb="FFFF0000"/>
        <rFont val="Calibri"/>
        <family val="2"/>
        <scheme val="minor"/>
      </rPr>
      <t>Earthworks</t>
    </r>
    <r>
      <rPr>
        <sz val="9"/>
        <color theme="1"/>
        <rFont val="Calibri"/>
        <family val="2"/>
        <scheme val="minor"/>
      </rPr>
      <t xml:space="preserve"> - Mule Creek</t>
    </r>
  </si>
  <si>
    <r>
      <rPr>
        <sz val="9"/>
        <color rgb="FFFF0000"/>
        <rFont val="Calibri"/>
        <family val="2"/>
        <scheme val="minor"/>
      </rPr>
      <t>Monarch</t>
    </r>
    <r>
      <rPr>
        <sz val="9"/>
        <color theme="1"/>
        <rFont val="Calibri"/>
        <family val="2"/>
        <scheme val="minor"/>
      </rPr>
      <t>/Pioneer</t>
    </r>
  </si>
  <si>
    <r>
      <rPr>
        <sz val="9"/>
        <color rgb="FFFF0000"/>
        <rFont val="Calibri"/>
        <family val="2"/>
        <scheme val="minor"/>
      </rPr>
      <t>MMSF 0553</t>
    </r>
    <r>
      <rPr>
        <sz val="9"/>
        <color theme="1"/>
        <rFont val="Calibri"/>
        <family val="2"/>
        <scheme val="minor"/>
      </rPr>
      <t>/MMOT 0553</t>
    </r>
  </si>
  <si>
    <r>
      <rPr>
        <sz val="9"/>
        <color rgb="FFFF0000"/>
        <rFont val="Calibri"/>
        <family val="2"/>
        <scheme val="minor"/>
      </rPr>
      <t>MMSF0611</t>
    </r>
    <r>
      <rPr>
        <sz val="9"/>
        <color theme="1"/>
        <rFont val="Calibri"/>
        <family val="2"/>
        <scheme val="minor"/>
      </rPr>
      <t xml:space="preserve"> / MMOT0659</t>
    </r>
  </si>
  <si>
    <r>
      <rPr>
        <sz val="9"/>
        <color rgb="FFFF0000"/>
        <rFont val="Calibri"/>
        <family val="2"/>
        <scheme val="minor"/>
      </rPr>
      <t>MMSF 0535</t>
    </r>
    <r>
      <rPr>
        <sz val="9"/>
        <color theme="1"/>
        <rFont val="Calibri"/>
        <family val="2"/>
        <scheme val="minor"/>
      </rPr>
      <t>/ MMOT 0535</t>
    </r>
  </si>
  <si>
    <r>
      <rPr>
        <sz val="9"/>
        <color rgb="FFFF0000"/>
        <rFont val="Calibri"/>
        <family val="2"/>
        <scheme val="minor"/>
      </rPr>
      <t>Penny</t>
    </r>
    <r>
      <rPr>
        <sz val="9"/>
        <color theme="1"/>
        <rFont val="Calibri"/>
        <family val="2"/>
        <scheme val="minor"/>
      </rPr>
      <t>/Midstates</t>
    </r>
  </si>
  <si>
    <r>
      <rPr>
        <sz val="9"/>
        <color rgb="FFFF0000"/>
        <rFont val="Calibri"/>
        <family val="2"/>
        <scheme val="minor"/>
      </rPr>
      <t>MMSF 0965</t>
    </r>
    <r>
      <rPr>
        <sz val="9"/>
        <color theme="1"/>
        <rFont val="Calibri"/>
        <family val="2"/>
        <scheme val="minor"/>
      </rPr>
      <t>/MMOT 0965/ Hamm</t>
    </r>
  </si>
  <si>
    <r>
      <rPr>
        <sz val="9"/>
        <color rgb="FFFF0000"/>
        <rFont val="Calibri"/>
        <family val="2"/>
        <scheme val="minor"/>
      </rPr>
      <t>Hamm</t>
    </r>
    <r>
      <rPr>
        <sz val="9"/>
        <color theme="1"/>
        <rFont val="Calibri"/>
        <family val="2"/>
        <scheme val="minor"/>
      </rPr>
      <t>/Midstates</t>
    </r>
  </si>
  <si>
    <t>Earthworks</t>
  </si>
  <si>
    <r>
      <rPr>
        <sz val="9"/>
        <color rgb="FFFF0000"/>
        <rFont val="Calibri"/>
        <family val="2"/>
        <scheme val="minor"/>
      </rPr>
      <t>MMP</t>
    </r>
    <r>
      <rPr>
        <sz val="9"/>
        <color theme="1"/>
        <rFont val="Calibri"/>
        <family val="2"/>
        <scheme val="minor"/>
      </rPr>
      <t>/Holcim</t>
    </r>
  </si>
  <si>
    <t>MMP</t>
  </si>
  <si>
    <r>
      <rPr>
        <sz val="9"/>
        <color rgb="FFFF0000"/>
        <rFont val="Calibri"/>
        <family val="2"/>
        <scheme val="minor"/>
      </rPr>
      <t>MMP</t>
    </r>
    <r>
      <rPr>
        <sz val="9"/>
        <color theme="1"/>
        <rFont val="Calibri"/>
        <family val="2"/>
        <scheme val="minor"/>
      </rPr>
      <t>/Holcim/Midstates</t>
    </r>
  </si>
  <si>
    <r>
      <t>Holliday</t>
    </r>
    <r>
      <rPr>
        <sz val="9"/>
        <rFont val="Calibri"/>
        <family val="2"/>
        <scheme val="minor"/>
      </rPr>
      <t>/MCM</t>
    </r>
  </si>
  <si>
    <r>
      <t>Kaw/</t>
    </r>
    <r>
      <rPr>
        <sz val="9"/>
        <color rgb="FFFF0000"/>
        <rFont val="Calibri"/>
        <family val="2"/>
        <scheme val="minor"/>
      </rPr>
      <t>Holliday</t>
    </r>
  </si>
  <si>
    <r>
      <rPr>
        <sz val="9"/>
        <color rgb="FFFF0000"/>
        <rFont val="Calibri"/>
        <family val="2"/>
        <scheme val="minor"/>
      </rPr>
      <t>Kaw</t>
    </r>
    <r>
      <rPr>
        <sz val="9"/>
        <color theme="1"/>
        <rFont val="Calibri"/>
        <family val="2"/>
        <scheme val="minor"/>
      </rPr>
      <t>/</t>
    </r>
    <r>
      <rPr>
        <sz val="9"/>
        <rFont val="Calibri"/>
        <family val="2"/>
        <scheme val="minor"/>
      </rPr>
      <t>Holliday</t>
    </r>
  </si>
  <si>
    <t>Winter Bro</t>
  </si>
  <si>
    <r>
      <rPr>
        <sz val="9"/>
        <color rgb="FFFF0000"/>
        <rFont val="Calibri"/>
        <family val="2"/>
        <scheme val="minor"/>
      </rPr>
      <t>MMR 0159</t>
    </r>
    <r>
      <rPr>
        <sz val="9"/>
        <color theme="1"/>
        <rFont val="Calibri"/>
        <family val="2"/>
        <scheme val="minor"/>
      </rPr>
      <t>/Hallet</t>
    </r>
  </si>
  <si>
    <r>
      <rPr>
        <sz val="9"/>
        <color rgb="FFFF0000"/>
        <rFont val="Calibri"/>
        <family val="2"/>
        <scheme val="minor"/>
      </rPr>
      <t>MMR 0750</t>
    </r>
    <r>
      <rPr>
        <sz val="9"/>
        <color theme="1"/>
        <rFont val="Calibri"/>
        <family val="2"/>
        <scheme val="minor"/>
      </rPr>
      <t>/Hallet</t>
    </r>
  </si>
  <si>
    <t>OK Aztec</t>
  </si>
  <si>
    <t>Stone Sand</t>
  </si>
  <si>
    <t>Butala/ACA</t>
  </si>
  <si>
    <t>Monarch</t>
  </si>
  <si>
    <t>US Stone</t>
  </si>
  <si>
    <t>NSP</t>
  </si>
  <si>
    <r>
      <rPr>
        <sz val="9"/>
        <color rgb="FFFF0000"/>
        <rFont val="Calibri"/>
        <family val="2"/>
        <scheme val="minor"/>
      </rPr>
      <t>NSP</t>
    </r>
    <r>
      <rPr>
        <sz val="9"/>
        <color theme="1"/>
        <rFont val="Calibri"/>
        <family val="2"/>
        <scheme val="minor"/>
      </rPr>
      <t>/Stone Splitters</t>
    </r>
  </si>
  <si>
    <t>Tri-Star/Reams</t>
  </si>
  <si>
    <r>
      <t>Tri-Star/</t>
    </r>
    <r>
      <rPr>
        <sz val="9"/>
        <color rgb="FFFF0000"/>
        <rFont val="Calibri"/>
        <family val="2"/>
        <scheme val="minor"/>
      </rPr>
      <t>Reams</t>
    </r>
  </si>
  <si>
    <r>
      <rPr>
        <sz val="9"/>
        <color rgb="FFFF0000"/>
        <rFont val="Calibri"/>
        <family val="2"/>
        <scheme val="minor"/>
      </rPr>
      <t>Tri-Star</t>
    </r>
    <r>
      <rPr>
        <sz val="9"/>
        <rFont val="Calibri"/>
        <family val="2"/>
        <scheme val="minor"/>
      </rPr>
      <t>/Reams</t>
    </r>
  </si>
  <si>
    <t>Perlite</t>
  </si>
  <si>
    <t>Ice Melt</t>
  </si>
  <si>
    <t>Tri-Star</t>
  </si>
  <si>
    <t>Unique</t>
  </si>
  <si>
    <t>Riverview/Flint Hills</t>
  </si>
  <si>
    <t>14" Natural (14" - 42" wide)  Flint Hills Stone</t>
  </si>
  <si>
    <t>14" Planed  Flint Hills Stone</t>
  </si>
  <si>
    <t>14"x14" Sawn Ledge (nat split ends)  Flint Hills Stone</t>
  </si>
  <si>
    <t>14" x 14" Sawn All sides  Flint Hills Stone</t>
  </si>
  <si>
    <t>Riverview</t>
  </si>
  <si>
    <t>Flint Hills</t>
  </si>
  <si>
    <t>Mule Creek/Earthworks</t>
  </si>
  <si>
    <t>Pioneer/Monarch</t>
  </si>
  <si>
    <t>Mule Creek</t>
  </si>
  <si>
    <t>SRW/Tri Star</t>
  </si>
  <si>
    <t>Colmet</t>
  </si>
  <si>
    <r>
      <rPr>
        <sz val="9"/>
        <color rgb="FFFF0000"/>
        <rFont val="Calibri"/>
        <family val="2"/>
        <scheme val="minor"/>
      </rPr>
      <t>MMSF 0553</t>
    </r>
    <r>
      <rPr>
        <sz val="9"/>
        <rFont val="Calibri"/>
        <family val="2"/>
        <scheme val="minor"/>
      </rPr>
      <t>/MMOT 0553</t>
    </r>
  </si>
  <si>
    <r>
      <rPr>
        <sz val="9"/>
        <color rgb="FFFF0000"/>
        <rFont val="Calibri"/>
        <family val="2"/>
        <scheme val="minor"/>
      </rPr>
      <t>MMSF0611</t>
    </r>
    <r>
      <rPr>
        <sz val="9"/>
        <rFont val="Calibri"/>
        <family val="2"/>
        <scheme val="minor"/>
      </rPr>
      <t xml:space="preserve"> / MMOT0659</t>
    </r>
  </si>
  <si>
    <r>
      <rPr>
        <sz val="9"/>
        <color rgb="FFFF0000"/>
        <rFont val="Calibri"/>
        <family val="2"/>
        <scheme val="minor"/>
      </rPr>
      <t>MMSF 0535</t>
    </r>
    <r>
      <rPr>
        <sz val="9"/>
        <rFont val="Calibri"/>
        <family val="2"/>
        <scheme val="minor"/>
      </rPr>
      <t>/ MMOT 0535</t>
    </r>
  </si>
  <si>
    <t>OK Aztec/Glaser Truck</t>
  </si>
  <si>
    <t>Kaw</t>
  </si>
  <si>
    <r>
      <rPr>
        <sz val="9"/>
        <color rgb="FFFF0000"/>
        <rFont val="Calibri"/>
        <family val="2"/>
        <scheme val="minor"/>
      </rPr>
      <t>Holliday</t>
    </r>
    <r>
      <rPr>
        <sz val="9"/>
        <rFont val="Calibri"/>
        <family val="2"/>
        <scheme val="minor"/>
      </rPr>
      <t>/MCM</t>
    </r>
  </si>
  <si>
    <t>Mule Creek/No Stress Truck</t>
  </si>
  <si>
    <t>Earthworks - Mule Creek/No Stress Truck</t>
  </si>
  <si>
    <r>
      <rPr>
        <sz val="9"/>
        <color rgb="FFFF0000"/>
        <rFont val="Calibri"/>
        <family val="2"/>
        <scheme val="minor"/>
      </rPr>
      <t>NSP No Stress Truck</t>
    </r>
    <r>
      <rPr>
        <sz val="9"/>
        <rFont val="Calibri"/>
        <family val="2"/>
        <scheme val="minor"/>
      </rPr>
      <t>/Stone Splitters</t>
    </r>
  </si>
  <si>
    <t>NSP No Stress Truck</t>
  </si>
  <si>
    <r>
      <t xml:space="preserve">NSP </t>
    </r>
    <r>
      <rPr>
        <sz val="9"/>
        <color rgb="FFFF0000"/>
        <rFont val="Calibri"/>
        <family val="2"/>
        <scheme val="minor"/>
      </rPr>
      <t>No Stress Truck</t>
    </r>
    <r>
      <rPr>
        <sz val="9"/>
        <rFont val="Calibri"/>
        <family val="2"/>
        <scheme val="minor"/>
      </rPr>
      <t>/</t>
    </r>
    <r>
      <rPr>
        <sz val="9"/>
        <color rgb="FFFF0000"/>
        <rFont val="Calibri"/>
        <family val="2"/>
        <scheme val="minor"/>
      </rPr>
      <t>Stone Splitters</t>
    </r>
  </si>
  <si>
    <t>Write Tree</t>
  </si>
  <si>
    <t>Reams</t>
  </si>
  <si>
    <r>
      <t>SRW/</t>
    </r>
    <r>
      <rPr>
        <sz val="9"/>
        <color rgb="FFFF0000"/>
        <rFont val="Calibri"/>
        <family val="2"/>
        <scheme val="minor"/>
      </rPr>
      <t>Tri Star</t>
    </r>
  </si>
  <si>
    <t>Tri Star</t>
  </si>
  <si>
    <r>
      <t>MMP/</t>
    </r>
    <r>
      <rPr>
        <sz val="9"/>
        <color rgb="FFFF0000"/>
        <rFont val="Calibri"/>
        <family val="2"/>
        <scheme val="minor"/>
      </rPr>
      <t>Holcim Glaser Truck</t>
    </r>
  </si>
  <si>
    <t>MMP Glaser Truck</t>
  </si>
  <si>
    <t>Winter Bro Glaser Truck</t>
  </si>
  <si>
    <t>Butala/ACA Glaser Truck</t>
  </si>
  <si>
    <t>Earthworks/Monarch</t>
  </si>
  <si>
    <r>
      <rPr>
        <sz val="9"/>
        <color rgb="FFFF0000"/>
        <rFont val="Calibri"/>
        <family val="2"/>
        <scheme val="minor"/>
      </rPr>
      <t>NSP</t>
    </r>
    <r>
      <rPr>
        <sz val="9"/>
        <rFont val="Calibri"/>
        <family val="2"/>
        <scheme val="minor"/>
      </rPr>
      <t xml:space="preserve"> </t>
    </r>
    <r>
      <rPr>
        <sz val="9"/>
        <color rgb="FFFF0000"/>
        <rFont val="Calibri"/>
        <family val="2"/>
        <scheme val="minor"/>
      </rPr>
      <t>No Stress Truck</t>
    </r>
  </si>
  <si>
    <r>
      <t>Hamm/</t>
    </r>
    <r>
      <rPr>
        <sz val="9"/>
        <color rgb="FFFF0000"/>
        <rFont val="Calibri"/>
        <family val="2"/>
        <scheme val="minor"/>
      </rPr>
      <t>Midstates Big Springs</t>
    </r>
    <r>
      <rPr>
        <sz val="9"/>
        <rFont val="Calibri"/>
        <family val="2"/>
        <scheme val="minor"/>
      </rPr>
      <t>/Pennys</t>
    </r>
  </si>
  <si>
    <t>SRW</t>
  </si>
  <si>
    <t>Unilock</t>
  </si>
  <si>
    <t>Probst</t>
  </si>
  <si>
    <r>
      <rPr>
        <sz val="9"/>
        <color rgb="FFFF0000"/>
        <rFont val="Calibri"/>
        <family val="2"/>
        <scheme val="minor"/>
      </rPr>
      <t>MMSF 0965</t>
    </r>
    <r>
      <rPr>
        <sz val="9"/>
        <rFont val="Calibri"/>
        <family val="2"/>
        <scheme val="minor"/>
      </rPr>
      <t>/MMOT 0965/ Hamm/Midstates Big Springs Screenings</t>
    </r>
  </si>
  <si>
    <r>
      <t>Pennys</t>
    </r>
    <r>
      <rPr>
        <sz val="9"/>
        <rFont val="Calibri"/>
        <family val="2"/>
        <scheme val="minor"/>
      </rPr>
      <t>/Midstates Topeka</t>
    </r>
  </si>
  <si>
    <r>
      <t>Pennys/</t>
    </r>
    <r>
      <rPr>
        <sz val="9"/>
        <color rgb="FFFF0000"/>
        <rFont val="Calibri"/>
        <family val="2"/>
        <scheme val="minor"/>
      </rPr>
      <t>Midstates Big Springs</t>
    </r>
  </si>
  <si>
    <r>
      <t>Pennys/</t>
    </r>
    <r>
      <rPr>
        <sz val="9"/>
        <color rgb="FFFF0000"/>
        <rFont val="Calibri"/>
        <family val="2"/>
        <scheme val="minor"/>
      </rPr>
      <t>Midstates Topeka</t>
    </r>
  </si>
  <si>
    <t>Reams Price</t>
  </si>
  <si>
    <t>40% Mark up on Wholesale</t>
  </si>
  <si>
    <t>Sod Shop</t>
  </si>
  <si>
    <t>CS Carey</t>
  </si>
  <si>
    <t>Phillips</t>
  </si>
  <si>
    <t>Foster Bros</t>
  </si>
  <si>
    <t>Belgard</t>
  </si>
  <si>
    <r>
      <t xml:space="preserve">Product </t>
    </r>
    <r>
      <rPr>
        <b/>
        <sz val="9"/>
        <color rgb="FFFF0000"/>
        <rFont val="Calibri"/>
        <family val="2"/>
        <scheme val="minor"/>
      </rPr>
      <t>(* waiting on 2024 pricing update)</t>
    </r>
  </si>
  <si>
    <r>
      <rPr>
        <sz val="9"/>
        <color rgb="FFFF0000"/>
        <rFont val="Calibri"/>
        <family val="2"/>
        <scheme val="minor"/>
      </rPr>
      <t>MMR 0750</t>
    </r>
    <r>
      <rPr>
        <sz val="9"/>
        <rFont val="Calibri"/>
        <family val="2"/>
        <scheme val="minor"/>
      </rPr>
      <t>/Hallet/</t>
    </r>
    <r>
      <rPr>
        <sz val="9"/>
        <color rgb="FFFF0000"/>
        <rFont val="Calibri"/>
        <family val="2"/>
        <scheme val="minor"/>
      </rPr>
      <t>Glaser Truck</t>
    </r>
  </si>
  <si>
    <r>
      <rPr>
        <sz val="9"/>
        <color rgb="FFFF0000"/>
        <rFont val="Calibri"/>
        <family val="2"/>
        <scheme val="minor"/>
      </rPr>
      <t>MMR 0159</t>
    </r>
    <r>
      <rPr>
        <sz val="9"/>
        <rFont val="Calibri"/>
        <family val="2"/>
        <scheme val="minor"/>
      </rPr>
      <t>/Hallet/</t>
    </r>
    <r>
      <rPr>
        <sz val="9"/>
        <color rgb="FFFF0000"/>
        <rFont val="Calibri"/>
        <family val="2"/>
        <scheme val="minor"/>
      </rPr>
      <t>Glaser Truck</t>
    </r>
  </si>
  <si>
    <t>Pine</t>
  </si>
  <si>
    <t>Steel Edging Stake - Green, Brown, Black V Shape</t>
  </si>
  <si>
    <t>Colmet - sell what we have not reordering</t>
  </si>
  <si>
    <t>Mule Creek/No Stress</t>
  </si>
  <si>
    <t>new product</t>
  </si>
  <si>
    <t>2024 PLC Member Pricing Partner Levels</t>
  </si>
  <si>
    <t>note that says no cost increase</t>
  </si>
  <si>
    <t>Manufactured Block - IN STOCK ITEMS BELOW | For Full Product Lines from Belgard, Unilock, Versa-Lok, Midwest Block, ask PLC Representative for Full Price Guides.</t>
  </si>
  <si>
    <t>Manufactured Veneer by Stone Creek Midwest - Currently No In Stock Items. Visit PLC Show Room to View Carry Boards or Visit with a PLC Representative for Pricing.</t>
  </si>
  <si>
    <t>86 linear ft</t>
  </si>
  <si>
    <t>varied</t>
  </si>
  <si>
    <t>20 sq ft wall face</t>
  </si>
  <si>
    <t>16+ sq ft wall face</t>
  </si>
  <si>
    <t>11.67 linear ft</t>
  </si>
  <si>
    <t>11 sq ft wall face</t>
  </si>
  <si>
    <t>6.67 linear ft</t>
  </si>
  <si>
    <t>21 sq ft wall face</t>
  </si>
  <si>
    <t>18 sq ft wall face</t>
  </si>
  <si>
    <t>90 - 110 sq ft</t>
  </si>
  <si>
    <t>70 sq ft</t>
  </si>
  <si>
    <t xml:space="preserve">125 sq ft </t>
  </si>
  <si>
    <t>130 sq ft</t>
  </si>
  <si>
    <t>60 sq ft</t>
  </si>
  <si>
    <t>approx 100 sq ft</t>
  </si>
  <si>
    <t>100 sq ft</t>
  </si>
  <si>
    <t>30 sq ft</t>
  </si>
  <si>
    <t>12 x 24 x 3</t>
  </si>
  <si>
    <t>24 x 24 x 4</t>
  </si>
  <si>
    <t>28 x 28 x 4</t>
  </si>
  <si>
    <t>2 5/8 x 7 7/8 x 2 3/8</t>
  </si>
  <si>
    <t>4 x 12 x 8</t>
  </si>
  <si>
    <t>24 x 24 with Rockface Edges</t>
  </si>
  <si>
    <t>24 x 3 x 2.5</t>
  </si>
  <si>
    <t>Cubic Yard Formula:
1 Yard = 1 Ton
L (ft) x W (ft) x D (ft) / 27</t>
  </si>
  <si>
    <t>Bin #</t>
  </si>
  <si>
    <t>L (ft)  x W (ft) x D (ft) / 27, then multiply by conversion factor
3-6" = 1.9 
1 1/2" = 1.8
AB3 = 1.7
3/4" = 1.6
Pit Fines = 1.5
1/4" = 1.4
Sand = 1.35</t>
  </si>
  <si>
    <t>Calculate square footage of area
(L x W), then use following chart.
One Cu Yd Approx Coverage:
1" Depth = 324 Sq Ft
2" Depth = 162 Sq Ft
3" Depth = 108 Sq Ft
4" Depth = 81 Sq Ft</t>
  </si>
  <si>
    <t>Coverage Approx / Specifications</t>
  </si>
  <si>
    <t>Lb Price</t>
  </si>
  <si>
    <t>Manufactured Block - IN STOCK ITEMS BELOW 
For Full Product Lines from Belgard, Unilock, Versa-Lok, Midwest Block, ask PLC Representative for Full Price Guides.</t>
  </si>
  <si>
    <t>Calculate square footage of area
(L x W), then use following chart.
One Cu Yd Approx Coverage:
1" Depth = 324 Sq Ft
2" Depth = 162 Sq Ft
3" Depth = 108 Sq Ft
4" Depth = 81 Sq Ft</t>
  </si>
  <si>
    <t>8 x 160 ft</t>
  </si>
  <si>
    <t>8 x 10 ft</t>
  </si>
  <si>
    <t>3 x 50</t>
  </si>
  <si>
    <t>4 x 300</t>
  </si>
  <si>
    <t>6 x 300</t>
  </si>
  <si>
    <t>4 x 250</t>
  </si>
  <si>
    <t>6 x 250</t>
  </si>
  <si>
    <t>6 x 100</t>
  </si>
  <si>
    <t>4 x 50</t>
  </si>
  <si>
    <t>1000 ct</t>
  </si>
  <si>
    <t>20 ct</t>
  </si>
  <si>
    <t>6 x 150</t>
  </si>
  <si>
    <t>7'8"</t>
  </si>
  <si>
    <t>10"</t>
  </si>
  <si>
    <t>10 oz</t>
  </si>
  <si>
    <t>28 oz</t>
  </si>
  <si>
    <t>9.5 oz</t>
  </si>
  <si>
    <t>50 lb</t>
  </si>
  <si>
    <t>2 Watt</t>
  </si>
  <si>
    <t>300 Watt</t>
  </si>
  <si>
    <t>50 ft</t>
  </si>
  <si>
    <t>10 ft</t>
  </si>
  <si>
    <t>100 ft</t>
  </si>
  <si>
    <t>2 x 3 x 4</t>
  </si>
  <si>
    <t>3 x 4 x 4</t>
  </si>
  <si>
    <t>5 lb</t>
  </si>
  <si>
    <t>25 lb</t>
  </si>
  <si>
    <t>2' x 4' 6"</t>
  </si>
  <si>
    <t>Sod - Fescue OR Bluegrass - Roll = 2' x 4'6"</t>
  </si>
  <si>
    <r>
      <t xml:space="preserve">Manufactured Edging Materials: NOW FEATURING QUICKLOCK </t>
    </r>
    <r>
      <rPr>
        <i/>
        <sz val="9"/>
        <rFont val="Calibri"/>
        <family val="2"/>
        <scheme val="minor"/>
      </rPr>
      <t>https://colmet.com/quicklock-edging/</t>
    </r>
  </si>
  <si>
    <r>
      <t>Manufactured Edging Materials: NOW FEATURING QUICKLOCK</t>
    </r>
    <r>
      <rPr>
        <sz val="9"/>
        <rFont val="Calibri"/>
        <family val="2"/>
        <scheme val="minor"/>
      </rPr>
      <t xml:space="preserve"> https://colmet.com/quicklock-edging/</t>
    </r>
  </si>
  <si>
    <r>
      <t>Manufactured Edging Materials: NOW FEATURING QUICKLOCK</t>
    </r>
    <r>
      <rPr>
        <sz val="9"/>
        <rFont val="Calibri"/>
        <family val="2"/>
        <scheme val="minor"/>
      </rPr>
      <t xml:space="preserve"> (https://colmet.com/quicklock-edging/)</t>
    </r>
  </si>
  <si>
    <r>
      <t>Riverview/</t>
    </r>
    <r>
      <rPr>
        <sz val="9"/>
        <color rgb="FFFF0000"/>
        <rFont val="Calibri"/>
        <family val="2"/>
        <scheme val="minor"/>
      </rPr>
      <t>Flint Hills</t>
    </r>
  </si>
  <si>
    <t>KS Sawn Premium</t>
  </si>
  <si>
    <t>71 sq ft</t>
  </si>
  <si>
    <t>Onega 3.5"x8" Tumbled</t>
  </si>
  <si>
    <t>Onega 5"x9" Tumbled</t>
  </si>
  <si>
    <t>Garick - Put in the PLC Soil Cost Sheet</t>
  </si>
  <si>
    <t>Lanavac Gray Edging</t>
  </si>
  <si>
    <t>Gray Variegated 3.5"x4"</t>
  </si>
  <si>
    <t>Copthorne - Red, Basalt (.15 sqft each)</t>
  </si>
  <si>
    <r>
      <t xml:space="preserve">Xteriors by DalTile - </t>
    </r>
    <r>
      <rPr>
        <b/>
        <sz val="8"/>
        <rFont val="Calibri"/>
        <family val="2"/>
        <scheme val="minor"/>
      </rPr>
      <t>Currently No In Stock Items. Visit PLC Show Room to View Samples, Request a DalTile Price Guide, or Visit with a PLC Representative.</t>
    </r>
  </si>
  <si>
    <t>R</t>
  </si>
  <si>
    <t>W</t>
  </si>
  <si>
    <t>120-140 linear ft</t>
  </si>
  <si>
    <t>18" diameter = 270-290 lbs
24" diameter = 650-700 lbs
30" diameter = 1300-1400 lbs
36" diameter = 2000-2400 lbs</t>
  </si>
  <si>
    <t>Signature Wall</t>
  </si>
  <si>
    <r>
      <t xml:space="preserve">BHR </t>
    </r>
    <r>
      <rPr>
        <b/>
        <sz val="9"/>
        <rFont val="Calibri"/>
        <family val="2"/>
        <scheme val="minor"/>
      </rPr>
      <t xml:space="preserve">Tumbled </t>
    </r>
    <r>
      <rPr>
        <sz val="9"/>
        <rFont val="Calibri"/>
        <family val="2"/>
        <scheme val="minor"/>
      </rPr>
      <t>Edging</t>
    </r>
  </si>
  <si>
    <r>
      <t xml:space="preserve">Product </t>
    </r>
    <r>
      <rPr>
        <b/>
        <sz val="9"/>
        <color rgb="FFFF0000"/>
        <rFont val="Calibri"/>
        <family val="2"/>
        <scheme val="minor"/>
      </rPr>
      <t>(* waiting on 2025 pricing update)</t>
    </r>
  </si>
  <si>
    <t>2024 RETAIL PRICE</t>
  </si>
  <si>
    <t>2025 Retail</t>
  </si>
  <si>
    <t>2024 Wholesale Price</t>
  </si>
  <si>
    <t>2025 Wholesale</t>
  </si>
  <si>
    <t>NSP No Stress Truck/Stone Splitters</t>
  </si>
  <si>
    <t>Pennys/Midstates Topeka</t>
  </si>
  <si>
    <t>Pennys/Midstates Big Springs</t>
  </si>
  <si>
    <t>Holliday/MCM</t>
  </si>
  <si>
    <t>Kaw/Holliday</t>
  </si>
  <si>
    <t>MMR 0750/Hallet/Glaser Truck</t>
  </si>
  <si>
    <t>MMR 0159/Hallet/Glaser Truck</t>
  </si>
  <si>
    <t>MMP/Holcim Glaser Truck</t>
  </si>
  <si>
    <t>Hamm Grantville/Midstates Big Springs/Pennys</t>
  </si>
  <si>
    <t>market price</t>
  </si>
  <si>
    <t>B7</t>
  </si>
  <si>
    <t>Starlight Boulders</t>
  </si>
  <si>
    <t>Not reordering Use old price</t>
  </si>
  <si>
    <t>new item</t>
  </si>
  <si>
    <t>same costs</t>
  </si>
  <si>
    <t>wait for new EW price, but we like these margins</t>
  </si>
  <si>
    <t>MMSF 0553</t>
  </si>
  <si>
    <t xml:space="preserve">MMSF0611 </t>
  </si>
  <si>
    <t>MMSF 0535</t>
  </si>
  <si>
    <t>Butala/ACA Glaser Truck/Monarch</t>
  </si>
  <si>
    <t>Down</t>
  </si>
  <si>
    <t>ok with current b/c MCM with new margin is lower</t>
  </si>
  <si>
    <t>leave prior year margin at prior year price would be closer to the 70% of top performers</t>
  </si>
  <si>
    <t>Board Price</t>
  </si>
  <si>
    <r>
      <t>MMSF 0965/ Hamm/</t>
    </r>
    <r>
      <rPr>
        <strike/>
        <sz val="9"/>
        <color rgb="FFFF0000"/>
        <rFont val="Calibri"/>
        <family val="2"/>
        <scheme val="minor"/>
      </rPr>
      <t>Midstates Big Springs Screenings</t>
    </r>
  </si>
  <si>
    <t>BG</t>
  </si>
  <si>
    <t>Sand</t>
  </si>
  <si>
    <t>Compost</t>
  </si>
  <si>
    <t>yd</t>
  </si>
  <si>
    <t>Tn</t>
  </si>
  <si>
    <t>PM</t>
  </si>
  <si>
    <t>cost after waste</t>
  </si>
  <si>
    <t>TN</t>
  </si>
  <si>
    <t>Wholesale</t>
  </si>
  <si>
    <t>&lt;-2024 Cost of PM</t>
  </si>
  <si>
    <t>&lt;-Cost of PM 2025</t>
  </si>
  <si>
    <t>Lite the Nite</t>
  </si>
  <si>
    <t>2025 PLC Member Pricing Partner Levels</t>
  </si>
  <si>
    <t>200W AC Transformer</t>
  </si>
  <si>
    <t>100W AC Transformer</t>
  </si>
  <si>
    <t>300W AC Transformer</t>
  </si>
  <si>
    <t>Kansas Large River Rock</t>
  </si>
  <si>
    <t>Universal Paver Rail</t>
  </si>
  <si>
    <t>Counterpoint Code</t>
  </si>
  <si>
    <t>BLDR:CB BD</t>
  </si>
  <si>
    <t>BLDR:COR BD</t>
  </si>
  <si>
    <t>BLDR:GL BD</t>
  </si>
  <si>
    <t>BLDR:MER RD BLD</t>
  </si>
  <si>
    <t>BLDR:MM BD</t>
  </si>
  <si>
    <t>BLDR:STARLIGHT</t>
  </si>
  <si>
    <t>BLDR:WL BD</t>
  </si>
  <si>
    <t>CNGR:1.5 WSH</t>
  </si>
  <si>
    <t>CNGR:1/4 CHP</t>
  </si>
  <si>
    <t>CNGR:3/4 WSH</t>
  </si>
  <si>
    <t>CNGR:AB3</t>
  </si>
  <si>
    <t>CNGR:CFS</t>
  </si>
  <si>
    <t>CNGR:DTCH RCK</t>
  </si>
  <si>
    <t>CNGR:MS</t>
  </si>
  <si>
    <t>CNGR:PF</t>
  </si>
  <si>
    <t>DCGR:CB1</t>
  </si>
  <si>
    <t>DCGR:CO RR 2X4</t>
  </si>
  <si>
    <t>DCGR:CO RR 4X8</t>
  </si>
  <si>
    <t>DCGR:CO RR1.5</t>
  </si>
  <si>
    <t>DCGR:CRFNS</t>
  </si>
  <si>
    <t>DCGR:KS PG</t>
  </si>
  <si>
    <t>DCGR:KS RR1.5</t>
  </si>
  <si>
    <t>DCGR:KS RR2-4</t>
  </si>
  <si>
    <t>DCGR:MM 1.5</t>
  </si>
  <si>
    <t>DCGR:MM 3.0</t>
  </si>
  <si>
    <t>DCGR:MO RB</t>
  </si>
  <si>
    <t>DCGR:MO RB2</t>
  </si>
  <si>
    <t>DCGR:OK AZ PG</t>
  </si>
  <si>
    <t>DCGR:RD CH</t>
  </si>
  <si>
    <t>DCGR:S&amp;P 1.5</t>
  </si>
  <si>
    <t>DCGR:SS RR1.5</t>
  </si>
  <si>
    <t>DRYS:CWTB3.5X8</t>
  </si>
  <si>
    <t>DRYS:CWTB5X9</t>
  </si>
  <si>
    <t>DRYS:MWG 6 CHP</t>
  </si>
  <si>
    <t>DRYS:SLVDL5X9</t>
  </si>
  <si>
    <t>DRYS:SLVDL3.5X8</t>
  </si>
  <si>
    <t>DRYS:VARGRAY3.5X8</t>
  </si>
  <si>
    <t>DRYS:VARGRAY5X9</t>
  </si>
  <si>
    <t>EDG:BHRE</t>
  </si>
  <si>
    <t>EDG:BHRET</t>
  </si>
  <si>
    <t>EDG:BLBREDG</t>
  </si>
  <si>
    <t>EDG:CWTB3.5X4</t>
  </si>
  <si>
    <t>EDG:KSCREAM</t>
  </si>
  <si>
    <t>EDG:LGEDG</t>
  </si>
  <si>
    <t>EDG:LHR 4X4</t>
  </si>
  <si>
    <t>EDG:SLVDL3.5X4</t>
  </si>
  <si>
    <t>EDG:VGEDG</t>
  </si>
  <si>
    <t>FERT:FRTSTR</t>
  </si>
  <si>
    <t>FLGS:BB1.5</t>
  </si>
  <si>
    <t>FLGS:BB2.5</t>
  </si>
  <si>
    <t>FLGS:BBPRE 1.5</t>
  </si>
  <si>
    <t>FLGS:BBPRE 2.5</t>
  </si>
  <si>
    <t>FLGS:BHRPAT 1.5</t>
  </si>
  <si>
    <t>FLGS:BHRPAT 2.5</t>
  </si>
  <si>
    <t>FLGS:BHRPRE 1.5</t>
  </si>
  <si>
    <t>FLGS:BHRPRE 2.5</t>
  </si>
  <si>
    <t>FLGS:KSSWNPREM</t>
  </si>
  <si>
    <t>FLGS:LG1.5</t>
  </si>
  <si>
    <t>FLGS:LG2.5</t>
  </si>
  <si>
    <t>FLGS:LGPRE</t>
  </si>
  <si>
    <t>FLGS:LHRPAT 1.5</t>
  </si>
  <si>
    <t>FLGS:LHRPAT 2.5</t>
  </si>
  <si>
    <t>FLGS:LHRPRE 1.5</t>
  </si>
  <si>
    <t>FLGS:LHRPRE 2.5</t>
  </si>
  <si>
    <t>GRSD:CM</t>
  </si>
  <si>
    <t>GRSD:LSWTR 50</t>
  </si>
  <si>
    <t>GRSD:TS 25</t>
  </si>
  <si>
    <t>GRSD:TS 5</t>
  </si>
  <si>
    <t>GRSD:TS 50</t>
  </si>
  <si>
    <t>MB-BG WESTUNIBB</t>
  </si>
  <si>
    <t>MB-BG WESTUNIBD</t>
  </si>
  <si>
    <t>MB-UNI COPTH B</t>
  </si>
  <si>
    <t>MB-UNI LED CE COP</t>
  </si>
  <si>
    <t>MB-UNI LED COPR</t>
  </si>
  <si>
    <t>MB-UNI PC 24X24</t>
  </si>
  <si>
    <t>MB-UNI PC 28X28</t>
  </si>
  <si>
    <t>MULCH:COCO</t>
  </si>
  <si>
    <t>MULCH:COFFEE</t>
  </si>
  <si>
    <t>MULCH:ESTRN RD CDR</t>
  </si>
  <si>
    <t>MULCH:GRND BRK</t>
  </si>
  <si>
    <t>MULCH:HRDWD</t>
  </si>
  <si>
    <t>MULCH:LCRCE</t>
  </si>
  <si>
    <t>MULCH:PINE BARK CHIP</t>
  </si>
  <si>
    <t>MULCH:PINE BRK</t>
  </si>
  <si>
    <t>NATW 14"WL BLK</t>
  </si>
  <si>
    <t>NATW 6"WL BLK</t>
  </si>
  <si>
    <t>NATW 9"WL BLK</t>
  </si>
  <si>
    <t>NATW:BHRB</t>
  </si>
  <si>
    <t>NATW:EWG</t>
  </si>
  <si>
    <t>NATW:EWSW</t>
  </si>
  <si>
    <t>NATW:KF</t>
  </si>
  <si>
    <t>NATW:LHR 4X6CHP</t>
  </si>
  <si>
    <t>NATW:WF</t>
  </si>
  <si>
    <t>SOD:RET SOD</t>
  </si>
  <si>
    <t>PLT:SOD</t>
  </si>
  <si>
    <t>SOIL:NFC</t>
  </si>
  <si>
    <t>SOIL:PLNT MX</t>
  </si>
  <si>
    <t>SOIL:PULBG</t>
  </si>
  <si>
    <t>SOIL:USOIL</t>
  </si>
  <si>
    <t>SPRCK:CBC</t>
  </si>
  <si>
    <t>SPRCK:KCF 1-12</t>
  </si>
  <si>
    <t>SPRCK:KCF 1-7</t>
  </si>
  <si>
    <t>SPRCK:MBP</t>
  </si>
  <si>
    <t>SPRCK:MG</t>
  </si>
  <si>
    <t>SPRCK:MMB</t>
  </si>
  <si>
    <t>STTRD:BHR</t>
  </si>
  <si>
    <t>STTRD:CTWD</t>
  </si>
  <si>
    <t>STTRD:MWG</t>
  </si>
  <si>
    <t>SUPP:DRAIN:D90ELBOW</t>
  </si>
  <si>
    <t>SUPP:DRAIN:DDSA234</t>
  </si>
  <si>
    <t>SUPP:DRAIN:DDSA344</t>
  </si>
  <si>
    <t>SUPP:DRAIN:DEMTRW90</t>
  </si>
  <si>
    <t>SUPP:DRAIN:DINTCOUP</t>
  </si>
  <si>
    <t>SUPP:DRAIN:DKINGPWTP</t>
  </si>
  <si>
    <t>SUPP:DRAIN:DPP100'R</t>
  </si>
  <si>
    <t>SUPP:DRAIN:DPPS100'R</t>
  </si>
  <si>
    <t>SUPP:DRAIN:DPS100'R</t>
  </si>
  <si>
    <t>SUPP:DRAIN:DPUEMIT</t>
  </si>
  <si>
    <t>SUPP:DRAIN:DPUVALV</t>
  </si>
  <si>
    <t>SUPP:DRAIN:DTEE</t>
  </si>
  <si>
    <t>SUPP:DRAIN:DWYE</t>
  </si>
  <si>
    <t>SUPP:DRAIN:RBSN1OUT</t>
  </si>
  <si>
    <t>SUPP:DRAIN:RGRTGRN</t>
  </si>
  <si>
    <t>SUPP:DRAIN:SDPADF040</t>
  </si>
  <si>
    <t>SUPP:HRDACC:A GBASE</t>
  </si>
  <si>
    <t>SUPP:HRDACC:PRAIL C</t>
  </si>
  <si>
    <t>SUPP:HRDACC:PRAIL F</t>
  </si>
  <si>
    <t>SUPP:HRDACC:SPK BX</t>
  </si>
  <si>
    <t>SUPP:HRDACC:SRW10</t>
  </si>
  <si>
    <t>SUPP:HRDACC:SRW29</t>
  </si>
  <si>
    <t>SUPP:HRDACC:SRW9.5</t>
  </si>
  <si>
    <t>SUPP:HRDACC:UECRETE</t>
  </si>
  <si>
    <t>SUPP:HRDACC:UPLYSWPB</t>
  </si>
  <si>
    <t>SUPP:HRDACC:UPLYSWPP</t>
  </si>
  <si>
    <t>SUPP:HRDACC:UPLYSWPT</t>
  </si>
  <si>
    <t>SUPP:LNDACC:350 20YR</t>
  </si>
  <si>
    <t>SUPP:LNDACC:4250 PLF</t>
  </si>
  <si>
    <t>SUPP:LNDACC:4300 SEF</t>
  </si>
  <si>
    <t>SUPP:LNDACC:450 3.0</t>
  </si>
  <si>
    <t>SUPP:LNDACC:6100 SS5</t>
  </si>
  <si>
    <t>SUPP:LNDACC:6250 PLF</t>
  </si>
  <si>
    <t>SUPP:LNDACC:6300 4.5</t>
  </si>
  <si>
    <t>SUPP:LNDACC:6300 SEF</t>
  </si>
  <si>
    <t>SUPP:LNDACC:AP 20PK</t>
  </si>
  <si>
    <t>SUPP:LNDACC:AP BOX</t>
  </si>
  <si>
    <t>SUPP:LNDACC:BULKBAG</t>
  </si>
  <si>
    <t>SUPP:LNDACC:CTP BOX</t>
  </si>
  <si>
    <t>SUPP:LNDACC:GEO6150</t>
  </si>
  <si>
    <t>SUPP:LNDACC:PP TOOL</t>
  </si>
  <si>
    <t>SUPP:LNDACC:SOXX10FT</t>
  </si>
  <si>
    <t>SUPP:LNDACC:SOXX8</t>
  </si>
  <si>
    <t>SUPP:LNDACC:STRBLK</t>
  </si>
  <si>
    <t>SUPP:LNDACC:TOTEBAG</t>
  </si>
  <si>
    <t>SUPP:LTNG:200SSSL</t>
  </si>
  <si>
    <t>SUPP:LTNG:300SSSL</t>
  </si>
  <si>
    <t>SUPP:LTNG:50FTLVWIRE</t>
  </si>
  <si>
    <t>SUPP:LTNG:FLX LED 2W</t>
  </si>
  <si>
    <t>SUPP:LTNG:GAM UP</t>
  </si>
  <si>
    <t>SUPP:LTNG:ISO LEDGE</t>
  </si>
  <si>
    <t>SUPP:LTNG:NU18ARA2W</t>
  </si>
  <si>
    <t>SUPP:LTNG:SHUB</t>
  </si>
  <si>
    <t>SUPP:LTNG:SNPC2</t>
  </si>
  <si>
    <t>SUPP:LTNG:TMR</t>
  </si>
  <si>
    <t>SUPP:M-EDG:10'GRN</t>
  </si>
  <si>
    <t>SUPP:M-EDG:STEDG ESG</t>
  </si>
  <si>
    <t>SUPP:M-EDG:STEDG GCS</t>
  </si>
  <si>
    <t>SUPP:M-EDG:STEDG SSG</t>
  </si>
  <si>
    <t>SUPP:M-EDG:STEDG STG</t>
  </si>
  <si>
    <t>SUPP:TECH:HMRPVR</t>
  </si>
  <si>
    <t>SUPP:TECH:PVREXT</t>
  </si>
  <si>
    <t>SUPP:TECH:PVRPW</t>
  </si>
  <si>
    <t>SUPP:TECH:SLBGRB</t>
  </si>
  <si>
    <t>VNR:INVC ECO QRY</t>
  </si>
  <si>
    <t>VNR:INVC ECO VUX</t>
  </si>
  <si>
    <t>VNR:INVC ECO WOD</t>
  </si>
  <si>
    <t>VNR:INVF ECO QRY</t>
  </si>
  <si>
    <t>VNR:INVF ECO VUX</t>
  </si>
  <si>
    <t>VNR:INVF ECO WOD</t>
  </si>
  <si>
    <t>VNR:NATPC PEW 24*24</t>
  </si>
  <si>
    <t>VNR:NATS PEW24*3*2.5</t>
  </si>
  <si>
    <t>MB-UNI COPTH R</t>
  </si>
  <si>
    <t>MB-UNI: COPTH BS</t>
  </si>
  <si>
    <t>Additional Stock Items without their own line</t>
  </si>
  <si>
    <t>MB-UNI RIVR RND INV</t>
  </si>
  <si>
    <t>MB-UNI SNST RND INV</t>
  </si>
  <si>
    <t>MB-UNI DIM STOCK</t>
  </si>
  <si>
    <t>MB-UNI INV UCARAPC/B</t>
  </si>
  <si>
    <t>MULCH:UMULCH</t>
  </si>
  <si>
    <t>NATW 18"WL BLK</t>
  </si>
  <si>
    <t>NATW 18"WL BLK BENCH</t>
  </si>
  <si>
    <t>PLT:CMBR</t>
  </si>
  <si>
    <t>PLT:KEYPAL</t>
  </si>
  <si>
    <t>PLT:KEYSTONE</t>
  </si>
  <si>
    <t>PLT:MBLTD</t>
  </si>
  <si>
    <t>PLT:MBP</t>
  </si>
  <si>
    <t>PLT:MBR</t>
  </si>
  <si>
    <t>PLT:MWB</t>
  </si>
  <si>
    <t>SOIL:LML CACTUSMIX</t>
  </si>
  <si>
    <t>SOIL:LML MIX</t>
  </si>
  <si>
    <t>SOIL:PERLITE</t>
  </si>
  <si>
    <t>SUPP:DRAIN:WALLPROG</t>
  </si>
  <si>
    <t>SUPP:DRAIN:WALLPROT</t>
  </si>
  <si>
    <t>SUPP:HRDACC:PE7 R</t>
  </si>
  <si>
    <t>SUPP:HRDACC:PRAIL R</t>
  </si>
  <si>
    <t>SUPP:HRDACC:SPK IND</t>
  </si>
  <si>
    <t>SUPP:LTNG:150SSSL</t>
  </si>
  <si>
    <t>SUPP:LTNG:DA-60</t>
  </si>
  <si>
    <t>we do have 2 of these</t>
  </si>
  <si>
    <t>do we want to discountinue</t>
  </si>
  <si>
    <t>SUPP:LTNG:WPCNCT10PK</t>
  </si>
  <si>
    <t>SUPP:M-EDG:10'BLK</t>
  </si>
  <si>
    <t>SUPP:M-EDG:10'BRN</t>
  </si>
  <si>
    <t>SUPP:M-EDG:STEDG BCS</t>
  </si>
  <si>
    <t>SUPP:M-EDG:STEDG ESB</t>
  </si>
  <si>
    <t>SUPP:M-EDG:STEDG SSB</t>
  </si>
  <si>
    <t>SUPP:M-EDG:STEDG STB</t>
  </si>
  <si>
    <t>SUPP:M-EDG:STEDGBLCS</t>
  </si>
  <si>
    <t>SUPP:M-EDG:STEDGSSBL</t>
  </si>
  <si>
    <t>SUPP:M-EDG:STEDGSTBK</t>
  </si>
  <si>
    <t>Rivercrest Round STOCK</t>
  </si>
  <si>
    <t>Sunset Round STOCK</t>
  </si>
  <si>
    <t>INV UCara Pillar Corner/BackUn</t>
  </si>
  <si>
    <t>Ledgestone LARGE Coping STOCK</t>
  </si>
  <si>
    <t>MB-UNI LED L COPS</t>
  </si>
  <si>
    <t>U Mulch</t>
  </si>
  <si>
    <t>CAPITOL MNFCTRD BLCK PLT REG</t>
  </si>
  <si>
    <t>KEYSTONE MNFCTRD BLCK PLT REG</t>
  </si>
  <si>
    <t>KEYSTONE PALLET</t>
  </si>
  <si>
    <t>MNFCTRD BLOCK PALLET LTD</t>
  </si>
  <si>
    <t>MNFCTRD BLOCK PALLET PREMIUM</t>
  </si>
  <si>
    <t>MNFCTRD BLOCK PALLET REGULAR</t>
  </si>
  <si>
    <t>MIDWEST BLOCK PALLET</t>
  </si>
  <si>
    <t>LML Cactus Mix</t>
  </si>
  <si>
    <t>LML Mix</t>
  </si>
  <si>
    <t>PERLITE</t>
  </si>
  <si>
    <t>WALL PRO DRAIN TAN</t>
  </si>
  <si>
    <t>10" Spikes (147/box)</t>
  </si>
  <si>
    <t>150 WATT TRANSFORMER</t>
  </si>
  <si>
    <t>60 WATT TRANSFORMER</t>
  </si>
  <si>
    <t>Rise Its</t>
  </si>
  <si>
    <t>VL Pins</t>
  </si>
  <si>
    <t>Capitol</t>
  </si>
  <si>
    <t>Keystone</t>
  </si>
  <si>
    <t>Midwest Block</t>
  </si>
  <si>
    <t>BWI</t>
  </si>
  <si>
    <t>Could not find on price sheet and we do not have one</t>
  </si>
  <si>
    <t>Could not find on price sheet we do have some</t>
  </si>
  <si>
    <t>Dal Tile</t>
  </si>
  <si>
    <t>MB-CAP VL PINS</t>
  </si>
  <si>
    <t>SUPP:HRDACC:RSEIT1/8</t>
  </si>
  <si>
    <t>BWI 4 CF Bag</t>
  </si>
  <si>
    <t>Reams/Lite the Nite?</t>
  </si>
  <si>
    <t>Cactus Mix</t>
  </si>
  <si>
    <t>CFS</t>
  </si>
  <si>
    <t>NFC/Pine Bark</t>
  </si>
  <si>
    <t>120#</t>
  </si>
  <si>
    <t>negligible so we usually ignore this part</t>
  </si>
  <si>
    <t>pounds</t>
  </si>
  <si>
    <t>Wholesale Price - Low Maintenance Price</t>
  </si>
  <si>
    <t>OK Aztec Pea</t>
  </si>
  <si>
    <t>Mixing Fee</t>
  </si>
  <si>
    <t>Current charge is 117</t>
  </si>
  <si>
    <t>LML Special Mix</t>
  </si>
  <si>
    <t>lb</t>
  </si>
  <si>
    <t>NFC</t>
  </si>
  <si>
    <t>Pine Bark Mulch</t>
  </si>
  <si>
    <t>yards</t>
  </si>
  <si>
    <t xml:space="preserve">Item current price is </t>
  </si>
  <si>
    <t>Current charge is 95</t>
  </si>
  <si>
    <t>Per Unit</t>
  </si>
  <si>
    <t>Total</t>
  </si>
  <si>
    <t>Copthorne - Red, Basalt, Blue Steel (.15 sqft each)</t>
  </si>
  <si>
    <t>18" Wall Block Bench</t>
  </si>
  <si>
    <t>18" Wall Block</t>
  </si>
  <si>
    <t>No change for 2025</t>
  </si>
  <si>
    <t>leave this one</t>
  </si>
  <si>
    <t>go up 10</t>
  </si>
  <si>
    <t>Steel Edging - Corner Stake - Green, Brown, or Black</t>
  </si>
  <si>
    <t>Steel Edging - Splicing Stake - Green, Brown, or Black</t>
  </si>
  <si>
    <t>Waterproof Connector 10 Pack</t>
  </si>
  <si>
    <t>Special Soils</t>
  </si>
  <si>
    <t>* Waiting on 2025 Pricing Updates</t>
  </si>
  <si>
    <t>100 Watt</t>
  </si>
  <si>
    <t>200 Watt</t>
  </si>
  <si>
    <t>Brussels Dimensional Stone - Limestone</t>
  </si>
  <si>
    <t>11 7/8 x 3 7/8 x 7 7/8</t>
  </si>
  <si>
    <t>SUPP:LTNG:100SSSL</t>
  </si>
  <si>
    <r>
      <t>Earthworks/</t>
    </r>
    <r>
      <rPr>
        <sz val="9"/>
        <color rgb="FFFF0000"/>
        <rFont val="Calibri"/>
        <family val="2"/>
        <scheme val="minor"/>
      </rPr>
      <t>Monarch</t>
    </r>
  </si>
  <si>
    <r>
      <rPr>
        <sz val="9"/>
        <color rgb="FFFF0000"/>
        <rFont val="Calibri"/>
        <family val="2"/>
        <scheme val="minor"/>
      </rPr>
      <t>Lindley</t>
    </r>
    <r>
      <rPr>
        <sz val="9"/>
        <rFont val="Calibri"/>
        <family val="2"/>
        <scheme val="minor"/>
      </rPr>
      <t>/Earthworks - Mule Creek/No Stress Truck</t>
    </r>
  </si>
  <si>
    <t>MB-UNI LED FP COPINV</t>
  </si>
  <si>
    <t>Ledgestone Firepit Coping (Buff)</t>
  </si>
  <si>
    <t>SOIL:SANDYL</t>
  </si>
  <si>
    <r>
      <t xml:space="preserve">Sandy Loam </t>
    </r>
    <r>
      <rPr>
        <i/>
        <sz val="9"/>
        <rFont val="Calibri"/>
        <family val="2"/>
        <scheme val="minor"/>
      </rPr>
      <t xml:space="preserve"> * Limited Quantity Available *</t>
    </r>
  </si>
  <si>
    <t>10" x 2 5/8" x 21 1/2"</t>
  </si>
  <si>
    <t>4.50 linear ft</t>
  </si>
  <si>
    <t>SPRCK:POLMBP</t>
  </si>
  <si>
    <t>Polished Mexican Beach Pebbles (bagged)</t>
  </si>
  <si>
    <t>75# bag</t>
  </si>
  <si>
    <t>Wall Drain Pro - Grey, Tan, Black</t>
  </si>
  <si>
    <t>SUPP:LNDACC:4300 GC</t>
  </si>
  <si>
    <t>4x300 Ground Cover Pro</t>
  </si>
  <si>
    <t>2025 RETAIL PRICE</t>
  </si>
  <si>
    <t>2026 Retail</t>
  </si>
  <si>
    <t>2026 Wholesale</t>
  </si>
  <si>
    <t>MMP/Amrize Glaser Truck</t>
  </si>
  <si>
    <t>review in new year before ordering</t>
  </si>
  <si>
    <t>2026 PLC Member Pricing Partner Levels</t>
  </si>
  <si>
    <t>2026 PLC Retail Pricing</t>
  </si>
  <si>
    <t>Fill Dirt: sticks, rocks, clods, debris</t>
  </si>
  <si>
    <t>SOIL:UNPROCESSED</t>
  </si>
  <si>
    <t>Unprocessed: sticks, rocks, clods, organic debris</t>
  </si>
  <si>
    <t>Green Seed</t>
  </si>
  <si>
    <t>SRW/Green Seed</t>
  </si>
  <si>
    <t>Green Seed/Reams</t>
  </si>
  <si>
    <t>Reams/Ewing</t>
  </si>
  <si>
    <t>SRW - qty?</t>
  </si>
  <si>
    <t>Green Seed / SRW</t>
  </si>
  <si>
    <t>Colmet - '25 pricing</t>
  </si>
  <si>
    <t>Lindley</t>
  </si>
  <si>
    <t>Riverview - Maybe Flint Hills?</t>
  </si>
  <si>
    <t>Flint Hills/Silverdale Quality Stone/US Stone</t>
  </si>
  <si>
    <t>not restocking</t>
  </si>
  <si>
    <t>MCM</t>
  </si>
  <si>
    <t>Steel Edging - End Stake - Brown</t>
  </si>
  <si>
    <t>FROM UNILOCK SHEET</t>
  </si>
  <si>
    <t>FROM BELGARD SHEET</t>
  </si>
  <si>
    <r>
      <t xml:space="preserve">SRW - </t>
    </r>
    <r>
      <rPr>
        <sz val="9"/>
        <color rgb="FFFF0000"/>
        <rFont val="Calibri"/>
        <family val="2"/>
        <scheme val="minor"/>
      </rPr>
      <t>UNILOCK IS CHEAPER</t>
    </r>
  </si>
  <si>
    <t>Monarch/Lazy Ear</t>
  </si>
  <si>
    <t>Duro Rock/Monarch</t>
  </si>
  <si>
    <t>DCGR:EGG1-4</t>
  </si>
  <si>
    <t>OS</t>
  </si>
  <si>
    <t>Egg Rock 1-4"</t>
  </si>
  <si>
    <t>MidStates</t>
  </si>
  <si>
    <t xml:space="preserve">Product </t>
  </si>
  <si>
    <r>
      <t>Product</t>
    </r>
    <r>
      <rPr>
        <b/>
        <sz val="8"/>
        <color rgb="FFFF0000"/>
        <rFont val="Calibri"/>
        <family val="2"/>
        <scheme val="minor"/>
      </rPr>
      <t xml:space="preserve"> </t>
    </r>
  </si>
  <si>
    <t>MMSF 0965</t>
  </si>
  <si>
    <t>5/4/26 - all construction up 7% product</t>
  </si>
  <si>
    <t>Fuel surcharge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</si>
</sst>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rgb="FF9A513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Calibri"/>
      <family val="2"/>
      <scheme val="minor"/>
    </font>
    <font>
      <sz val="9"/>
      <color rgb="FF282828"/>
      <name val="Calibri"/>
      <family val="2"/>
      <scheme val="minor"/>
    </font>
    <font>
      <b/>
      <sz val="9"/>
      <color rgb="FF282828"/>
      <name val="Calibri"/>
      <family val="2"/>
      <scheme val="minor"/>
    </font>
    <font>
      <b/>
      <strike/>
      <sz val="9"/>
      <name val="Calibri"/>
      <family val="2"/>
      <scheme val="minor"/>
    </font>
    <font>
      <i/>
      <sz val="8"/>
      <name val="Calibri"/>
      <family val="2"/>
      <scheme val="minor"/>
    </font>
    <font>
      <i/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8"/>
      <color rgb="FFFF0000"/>
      <name val="Calibri"/>
      <family val="2"/>
      <scheme val="minor"/>
    </font>
    <font>
      <i/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B050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rgb="FF7030A0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9A513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7EA2A8"/>
        <bgColor indexed="64"/>
      </patternFill>
    </fill>
    <fill>
      <patternFill patternType="solid">
        <fgColor rgb="FFDBD4C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6D5F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A5138"/>
        <bgColor indexed="64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4">
    <xf numFmtId="0" fontId="0" fillId="0" borderId="0" xfId="0"/>
    <xf numFmtId="0" fontId="2" fillId="0" borderId="0" xfId="0" applyFont="1"/>
    <xf numFmtId="0" fontId="5" fillId="8" borderId="7" xfId="0" applyFont="1" applyFill="1" applyBorder="1" applyAlignment="1">
      <alignment horizontal="left"/>
    </xf>
    <xf numFmtId="0" fontId="6" fillId="0" borderId="0" xfId="0" applyFont="1"/>
    <xf numFmtId="0" fontId="5" fillId="3" borderId="2" xfId="0" applyFont="1" applyFill="1" applyBorder="1"/>
    <xf numFmtId="0" fontId="5" fillId="8" borderId="0" xfId="0" applyFont="1" applyFill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8" fontId="5" fillId="0" borderId="4" xfId="0" applyNumberFormat="1" applyFont="1" applyBorder="1" applyAlignment="1">
      <alignment horizontal="center"/>
    </xf>
    <xf numFmtId="8" fontId="5" fillId="0" borderId="1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44" fontId="5" fillId="0" borderId="6" xfId="1" applyFont="1" applyBorder="1" applyAlignment="1">
      <alignment horizontal="center"/>
    </xf>
    <xf numFmtId="44" fontId="5" fillId="6" borderId="6" xfId="1" applyFont="1" applyFill="1" applyBorder="1" applyAlignment="1">
      <alignment horizontal="center"/>
    </xf>
    <xf numFmtId="44" fontId="5" fillId="7" borderId="1" xfId="1" applyFont="1" applyFill="1" applyBorder="1" applyAlignment="1">
      <alignment horizontal="center"/>
    </xf>
    <xf numFmtId="44" fontId="5" fillId="5" borderId="1" xfId="1" applyFont="1" applyFill="1" applyBorder="1" applyAlignment="1">
      <alignment horizontal="center" wrapText="1"/>
    </xf>
    <xf numFmtId="44" fontId="5" fillId="4" borderId="1" xfId="1" applyFont="1" applyFill="1" applyBorder="1" applyAlignment="1">
      <alignment horizontal="center" wrapText="1"/>
    </xf>
    <xf numFmtId="9" fontId="5" fillId="7" borderId="0" xfId="1" applyNumberFormat="1" applyFont="1" applyFill="1" applyAlignment="1">
      <alignment horizontal="center"/>
    </xf>
    <xf numFmtId="9" fontId="5" fillId="5" borderId="0" xfId="1" applyNumberFormat="1" applyFont="1" applyFill="1" applyAlignment="1">
      <alignment horizontal="center"/>
    </xf>
    <xf numFmtId="9" fontId="5" fillId="4" borderId="0" xfId="1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44" fontId="7" fillId="6" borderId="1" xfId="1" applyFont="1" applyFill="1" applyBorder="1" applyAlignment="1">
      <alignment horizontal="center" wrapText="1"/>
    </xf>
    <xf numFmtId="44" fontId="7" fillId="7" borderId="1" xfId="1" applyFont="1" applyFill="1" applyBorder="1" applyAlignment="1">
      <alignment horizontal="center" wrapText="1"/>
    </xf>
    <xf numFmtId="44" fontId="7" fillId="5" borderId="1" xfId="1" applyFont="1" applyFill="1" applyBorder="1" applyAlignment="1">
      <alignment horizontal="center" wrapText="1"/>
    </xf>
    <xf numFmtId="44" fontId="7" fillId="4" borderId="1" xfId="1" applyFont="1" applyFill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44" fontId="5" fillId="6" borderId="1" xfId="1" applyFont="1" applyFill="1" applyBorder="1" applyAlignment="1">
      <alignment horizontal="center"/>
    </xf>
    <xf numFmtId="44" fontId="5" fillId="0" borderId="4" xfId="1" applyFont="1" applyBorder="1" applyAlignment="1">
      <alignment horizontal="center"/>
    </xf>
    <xf numFmtId="44" fontId="5" fillId="6" borderId="4" xfId="1" applyFont="1" applyFill="1" applyBorder="1" applyAlignment="1">
      <alignment horizontal="center"/>
    </xf>
    <xf numFmtId="44" fontId="8" fillId="0" borderId="1" xfId="1" applyFont="1" applyBorder="1" applyAlignment="1">
      <alignment horizontal="center"/>
    </xf>
    <xf numFmtId="44" fontId="8" fillId="6" borderId="1" xfId="1" applyFont="1" applyFill="1" applyBorder="1" applyAlignment="1">
      <alignment horizontal="center"/>
    </xf>
    <xf numFmtId="44" fontId="8" fillId="7" borderId="1" xfId="1" applyFont="1" applyFill="1" applyBorder="1" applyAlignment="1">
      <alignment horizontal="center"/>
    </xf>
    <xf numFmtId="44" fontId="8" fillId="5" borderId="1" xfId="1" applyFont="1" applyFill="1" applyBorder="1" applyAlignment="1">
      <alignment horizontal="center" wrapText="1"/>
    </xf>
    <xf numFmtId="44" fontId="8" fillId="4" borderId="1" xfId="1" applyFont="1" applyFill="1" applyBorder="1" applyAlignment="1">
      <alignment horizontal="center" wrapText="1"/>
    </xf>
    <xf numFmtId="44" fontId="8" fillId="0" borderId="4" xfId="1" applyFont="1" applyBorder="1" applyAlignment="1">
      <alignment horizontal="center"/>
    </xf>
    <xf numFmtId="44" fontId="8" fillId="6" borderId="4" xfId="1" applyFont="1" applyFill="1" applyBorder="1" applyAlignment="1">
      <alignment horizontal="center"/>
    </xf>
    <xf numFmtId="0" fontId="8" fillId="0" borderId="0" xfId="0" applyFont="1"/>
    <xf numFmtId="44" fontId="8" fillId="6" borderId="0" xfId="1" applyFont="1" applyFill="1" applyAlignment="1">
      <alignment horizontal="center"/>
    </xf>
    <xf numFmtId="0" fontId="8" fillId="8" borderId="0" xfId="0" applyFont="1" applyFill="1"/>
    <xf numFmtId="44" fontId="8" fillId="8" borderId="7" xfId="1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8" fillId="8" borderId="7" xfId="0" applyFont="1" applyFill="1" applyBorder="1"/>
    <xf numFmtId="44" fontId="8" fillId="7" borderId="0" xfId="1" applyFont="1" applyFill="1" applyAlignment="1">
      <alignment horizontal="center"/>
    </xf>
    <xf numFmtId="44" fontId="8" fillId="5" borderId="0" xfId="1" applyFont="1" applyFill="1" applyAlignment="1">
      <alignment horizontal="center"/>
    </xf>
    <xf numFmtId="44" fontId="8" fillId="4" borderId="0" xfId="1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" fillId="9" borderId="4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44" fontId="5" fillId="0" borderId="1" xfId="1" applyFont="1" applyBorder="1" applyAlignment="1">
      <alignment vertical="center" wrapText="1"/>
    </xf>
    <xf numFmtId="44" fontId="5" fillId="6" borderId="1" xfId="1" applyFont="1" applyFill="1" applyBorder="1" applyAlignment="1">
      <alignment vertical="center" wrapText="1"/>
    </xf>
    <xf numFmtId="44" fontId="5" fillId="0" borderId="1" xfId="1" applyFont="1" applyBorder="1" applyAlignment="1">
      <alignment horizontal="center" vertical="center" wrapText="1"/>
    </xf>
    <xf numFmtId="44" fontId="5" fillId="6" borderId="1" xfId="1" applyFont="1" applyFill="1" applyBorder="1" applyAlignment="1">
      <alignment horizontal="center" vertical="center" wrapText="1"/>
    </xf>
    <xf numFmtId="44" fontId="5" fillId="7" borderId="1" xfId="1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8" fillId="10" borderId="0" xfId="0" applyFont="1" applyFill="1"/>
    <xf numFmtId="44" fontId="8" fillId="10" borderId="0" xfId="1" applyFont="1" applyFill="1" applyAlignment="1">
      <alignment horizontal="center"/>
    </xf>
    <xf numFmtId="0" fontId="2" fillId="10" borderId="0" xfId="0" applyFont="1" applyFill="1"/>
    <xf numFmtId="0" fontId="7" fillId="10" borderId="1" xfId="0" applyFont="1" applyFill="1" applyBorder="1" applyAlignment="1">
      <alignment horizontal="center" wrapText="1"/>
    </xf>
    <xf numFmtId="44" fontId="7" fillId="10" borderId="1" xfId="1" applyFont="1" applyFill="1" applyBorder="1" applyAlignment="1">
      <alignment horizontal="center" wrapText="1"/>
    </xf>
    <xf numFmtId="44" fontId="5" fillId="10" borderId="1" xfId="1" applyFont="1" applyFill="1" applyBorder="1" applyAlignment="1">
      <alignment horizontal="center"/>
    </xf>
    <xf numFmtId="44" fontId="5" fillId="10" borderId="4" xfId="1" applyFont="1" applyFill="1" applyBorder="1" applyAlignment="1">
      <alignment horizontal="center"/>
    </xf>
    <xf numFmtId="44" fontId="8" fillId="10" borderId="7" xfId="1" applyFont="1" applyFill="1" applyBorder="1" applyAlignment="1">
      <alignment horizontal="center"/>
    </xf>
    <xf numFmtId="44" fontId="5" fillId="10" borderId="6" xfId="1" applyFont="1" applyFill="1" applyBorder="1" applyAlignment="1">
      <alignment horizontal="center"/>
    </xf>
    <xf numFmtId="0" fontId="8" fillId="10" borderId="7" xfId="0" applyFont="1" applyFill="1" applyBorder="1" applyAlignment="1">
      <alignment horizontal="center"/>
    </xf>
    <xf numFmtId="0" fontId="8" fillId="10" borderId="7" xfId="0" applyFont="1" applyFill="1" applyBorder="1"/>
    <xf numFmtId="44" fontId="8" fillId="10" borderId="4" xfId="1" applyFont="1" applyFill="1" applyBorder="1" applyAlignment="1">
      <alignment horizontal="center"/>
    </xf>
    <xf numFmtId="44" fontId="8" fillId="10" borderId="1" xfId="1" applyFont="1" applyFill="1" applyBorder="1" applyAlignment="1">
      <alignment horizontal="center"/>
    </xf>
    <xf numFmtId="44" fontId="5" fillId="10" borderId="1" xfId="1" applyFont="1" applyFill="1" applyBorder="1" applyAlignment="1">
      <alignment vertical="center" wrapText="1"/>
    </xf>
    <xf numFmtId="44" fontId="5" fillId="10" borderId="1" xfId="1" applyFont="1" applyFill="1" applyBorder="1" applyAlignment="1">
      <alignment horizontal="center" vertical="center" wrapText="1"/>
    </xf>
    <xf numFmtId="0" fontId="2" fillId="11" borderId="0" xfId="0" applyFont="1" applyFill="1"/>
    <xf numFmtId="9" fontId="2" fillId="11" borderId="0" xfId="0" applyNumberFormat="1" applyFont="1" applyFill="1"/>
    <xf numFmtId="44" fontId="2" fillId="0" borderId="0" xfId="0" applyNumberFormat="1" applyFont="1"/>
    <xf numFmtId="0" fontId="9" fillId="0" borderId="0" xfId="0" applyFont="1"/>
    <xf numFmtId="0" fontId="0" fillId="12" borderId="0" xfId="0" applyFill="1"/>
    <xf numFmtId="44" fontId="2" fillId="12" borderId="0" xfId="0" applyNumberFormat="1" applyFont="1" applyFill="1"/>
    <xf numFmtId="0" fontId="2" fillId="12" borderId="0" xfId="0" applyFont="1" applyFill="1"/>
    <xf numFmtId="0" fontId="6" fillId="11" borderId="0" xfId="0" applyFont="1" applyFill="1"/>
    <xf numFmtId="0" fontId="6" fillId="0" borderId="11" xfId="0" applyFont="1" applyBorder="1"/>
    <xf numFmtId="0" fontId="2" fillId="0" borderId="11" xfId="0" applyFont="1" applyBorder="1"/>
    <xf numFmtId="0" fontId="2" fillId="13" borderId="11" xfId="0" applyFont="1" applyFill="1" applyBorder="1"/>
    <xf numFmtId="0" fontId="6" fillId="13" borderId="11" xfId="0" applyFont="1" applyFill="1" applyBorder="1"/>
    <xf numFmtId="0" fontId="2" fillId="14" borderId="11" xfId="0" applyFont="1" applyFill="1" applyBorder="1"/>
    <xf numFmtId="44" fontId="5" fillId="15" borderId="1" xfId="1" applyFont="1" applyFill="1" applyBorder="1" applyAlignment="1">
      <alignment horizontal="center"/>
    </xf>
    <xf numFmtId="44" fontId="5" fillId="15" borderId="4" xfId="1" applyFont="1" applyFill="1" applyBorder="1" applyAlignment="1">
      <alignment horizontal="center"/>
    </xf>
    <xf numFmtId="44" fontId="5" fillId="15" borderId="6" xfId="1" applyFont="1" applyFill="1" applyBorder="1" applyAlignment="1">
      <alignment horizontal="center"/>
    </xf>
    <xf numFmtId="44" fontId="5" fillId="15" borderId="1" xfId="1" applyFont="1" applyFill="1" applyBorder="1" applyAlignment="1">
      <alignment vertical="center" wrapText="1"/>
    </xf>
    <xf numFmtId="0" fontId="9" fillId="13" borderId="11" xfId="0" applyFont="1" applyFill="1" applyBorder="1"/>
    <xf numFmtId="0" fontId="6" fillId="14" borderId="2" xfId="0" applyFont="1" applyFill="1" applyBorder="1" applyAlignment="1">
      <alignment horizontal="left"/>
    </xf>
    <xf numFmtId="0" fontId="6" fillId="14" borderId="3" xfId="0" applyFont="1" applyFill="1" applyBorder="1" applyAlignment="1">
      <alignment horizontal="left"/>
    </xf>
    <xf numFmtId="0" fontId="13" fillId="0" borderId="1" xfId="0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44" fontId="14" fillId="6" borderId="1" xfId="1" applyFont="1" applyFill="1" applyBorder="1" applyAlignment="1">
      <alignment horizontal="center"/>
    </xf>
    <xf numFmtId="44" fontId="14" fillId="7" borderId="1" xfId="1" applyFont="1" applyFill="1" applyBorder="1" applyAlignment="1">
      <alignment horizontal="center"/>
    </xf>
    <xf numFmtId="44" fontId="14" fillId="5" borderId="1" xfId="1" applyFont="1" applyFill="1" applyBorder="1" applyAlignment="1">
      <alignment horizontal="center" wrapText="1"/>
    </xf>
    <xf numFmtId="44" fontId="14" fillId="4" borderId="1" xfId="1" applyFont="1" applyFill="1" applyBorder="1" applyAlignment="1">
      <alignment horizontal="center" wrapText="1"/>
    </xf>
    <xf numFmtId="0" fontId="13" fillId="0" borderId="4" xfId="0" applyFont="1" applyBorder="1" applyAlignment="1">
      <alignment horizontal="center"/>
    </xf>
    <xf numFmtId="0" fontId="5" fillId="9" borderId="3" xfId="0" applyFont="1" applyFill="1" applyBorder="1" applyAlignment="1">
      <alignment horizontal="center" wrapText="1"/>
    </xf>
    <xf numFmtId="0" fontId="5" fillId="8" borderId="0" xfId="0" applyFont="1" applyFill="1" applyAlignment="1">
      <alignment horizontal="center"/>
    </xf>
    <xf numFmtId="0" fontId="9" fillId="9" borderId="5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12" xfId="0" applyFont="1" applyFill="1" applyBorder="1" applyAlignment="1">
      <alignment horizontal="center"/>
    </xf>
    <xf numFmtId="43" fontId="2" fillId="13" borderId="11" xfId="2" applyFont="1" applyFill="1" applyBorder="1"/>
    <xf numFmtId="0" fontId="5" fillId="0" borderId="2" xfId="0" applyFont="1" applyBorder="1"/>
    <xf numFmtId="0" fontId="12" fillId="9" borderId="2" xfId="0" applyFont="1" applyFill="1" applyBorder="1" applyAlignment="1">
      <alignment horizontal="center"/>
    </xf>
    <xf numFmtId="44" fontId="15" fillId="6" borderId="1" xfId="1" applyFont="1" applyFill="1" applyBorder="1" applyAlignment="1">
      <alignment horizontal="center"/>
    </xf>
    <xf numFmtId="44" fontId="15" fillId="7" borderId="1" xfId="1" applyFont="1" applyFill="1" applyBorder="1" applyAlignment="1">
      <alignment horizontal="center"/>
    </xf>
    <xf numFmtId="44" fontId="15" fillId="5" borderId="1" xfId="1" applyFont="1" applyFill="1" applyBorder="1" applyAlignment="1">
      <alignment horizontal="center" wrapText="1"/>
    </xf>
    <xf numFmtId="44" fontId="15" fillId="4" borderId="1" xfId="1" applyFont="1" applyFill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44" fontId="2" fillId="14" borderId="0" xfId="0" applyNumberFormat="1" applyFont="1" applyFill="1"/>
    <xf numFmtId="0" fontId="12" fillId="16" borderId="5" xfId="0" applyFont="1" applyFill="1" applyBorder="1" applyAlignment="1">
      <alignment horizontal="center"/>
    </xf>
    <xf numFmtId="0" fontId="12" fillId="9" borderId="5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44" fontId="8" fillId="0" borderId="0" xfId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8" borderId="0" xfId="0" applyFont="1" applyFill="1" applyAlignment="1">
      <alignment horizontal="left"/>
    </xf>
    <xf numFmtId="0" fontId="5" fillId="8" borderId="9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left"/>
    </xf>
    <xf numFmtId="9" fontId="5" fillId="0" borderId="0" xfId="1" applyNumberFormat="1" applyFont="1" applyFill="1" applyAlignment="1">
      <alignment horizontal="center"/>
    </xf>
    <xf numFmtId="44" fontId="8" fillId="0" borderId="0" xfId="1" applyFont="1"/>
    <xf numFmtId="44" fontId="8" fillId="8" borderId="0" xfId="1" applyFont="1" applyFill="1"/>
    <xf numFmtId="44" fontId="8" fillId="0" borderId="0" xfId="1" applyFont="1" applyFill="1" applyBorder="1"/>
    <xf numFmtId="0" fontId="7" fillId="8" borderId="7" xfId="0" applyFont="1" applyFill="1" applyBorder="1" applyAlignment="1">
      <alignment horizontal="left"/>
    </xf>
    <xf numFmtId="0" fontId="7" fillId="8" borderId="7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64" fontId="6" fillId="9" borderId="1" xfId="0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4" fontId="5" fillId="9" borderId="1" xfId="1" applyFont="1" applyFill="1" applyBorder="1" applyAlignment="1">
      <alignment horizontal="left"/>
    </xf>
    <xf numFmtId="0" fontId="6" fillId="17" borderId="5" xfId="0" applyFont="1" applyFill="1" applyBorder="1" applyAlignment="1">
      <alignment horizontal="left"/>
    </xf>
    <xf numFmtId="44" fontId="5" fillId="0" borderId="0" xfId="1" applyFont="1" applyFill="1" applyBorder="1" applyAlignment="1">
      <alignment horizontal="center"/>
    </xf>
    <xf numFmtId="44" fontId="5" fillId="0" borderId="0" xfId="1" applyFont="1" applyFill="1" applyBorder="1" applyAlignment="1">
      <alignment horizontal="center" wrapText="1"/>
    </xf>
    <xf numFmtId="49" fontId="22" fillId="0" borderId="0" xfId="0" applyNumberFormat="1" applyFont="1" applyAlignment="1">
      <alignment vertical="center"/>
    </xf>
    <xf numFmtId="0" fontId="5" fillId="8" borderId="10" xfId="0" applyFont="1" applyFill="1" applyBorder="1" applyAlignment="1">
      <alignment horizontal="center"/>
    </xf>
    <xf numFmtId="44" fontId="23" fillId="0" borderId="1" xfId="1" applyFont="1" applyFill="1" applyBorder="1" applyAlignment="1">
      <alignment horizontal="center" wrapText="1"/>
    </xf>
    <xf numFmtId="44" fontId="23" fillId="0" borderId="1" xfId="1" applyFont="1" applyFill="1" applyBorder="1" applyAlignment="1">
      <alignment horizontal="left"/>
    </xf>
    <xf numFmtId="44" fontId="23" fillId="0" borderId="0" xfId="1" applyFont="1" applyFill="1" applyBorder="1"/>
    <xf numFmtId="43" fontId="2" fillId="0" borderId="11" xfId="2" applyFont="1" applyFill="1" applyBorder="1"/>
    <xf numFmtId="44" fontId="5" fillId="17" borderId="1" xfId="1" applyFont="1" applyFill="1" applyBorder="1" applyAlignment="1">
      <alignment horizontal="center"/>
    </xf>
    <xf numFmtId="44" fontId="5" fillId="17" borderId="4" xfId="1" applyFont="1" applyFill="1" applyBorder="1" applyAlignment="1">
      <alignment horizontal="center"/>
    </xf>
    <xf numFmtId="165" fontId="9" fillId="0" borderId="0" xfId="0" applyNumberFormat="1" applyFont="1"/>
    <xf numFmtId="0" fontId="5" fillId="9" borderId="13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center" wrapText="1"/>
    </xf>
    <xf numFmtId="0" fontId="5" fillId="3" borderId="6" xfId="0" applyFont="1" applyFill="1" applyBorder="1" applyAlignment="1">
      <alignment horizontal="center"/>
    </xf>
    <xf numFmtId="44" fontId="7" fillId="3" borderId="6" xfId="1" applyFont="1" applyFill="1" applyBorder="1" applyAlignment="1">
      <alignment horizontal="center" wrapText="1"/>
    </xf>
    <xf numFmtId="44" fontId="7" fillId="6" borderId="6" xfId="1" applyFont="1" applyFill="1" applyBorder="1" applyAlignment="1">
      <alignment horizontal="center" wrapText="1"/>
    </xf>
    <xf numFmtId="44" fontId="7" fillId="7" borderId="6" xfId="1" applyFont="1" applyFill="1" applyBorder="1" applyAlignment="1">
      <alignment horizontal="center" wrapText="1"/>
    </xf>
    <xf numFmtId="44" fontId="7" fillId="5" borderId="6" xfId="1" applyFont="1" applyFill="1" applyBorder="1" applyAlignment="1">
      <alignment horizontal="center" wrapText="1"/>
    </xf>
    <xf numFmtId="44" fontId="7" fillId="4" borderId="6" xfId="1" applyFont="1" applyFill="1" applyBorder="1" applyAlignment="1">
      <alignment horizontal="center" wrapText="1"/>
    </xf>
    <xf numFmtId="44" fontId="3" fillId="18" borderId="15" xfId="1" applyFont="1" applyFill="1" applyBorder="1" applyAlignment="1">
      <alignment horizontal="center"/>
    </xf>
    <xf numFmtId="9" fontId="3" fillId="18" borderId="15" xfId="1" applyNumberFormat="1" applyFont="1" applyFill="1" applyBorder="1" applyAlignment="1">
      <alignment horizontal="center"/>
    </xf>
    <xf numFmtId="0" fontId="24" fillId="18" borderId="15" xfId="0" applyFont="1" applyFill="1" applyBorder="1"/>
    <xf numFmtId="44" fontId="5" fillId="12" borderId="4" xfId="1" applyFont="1" applyFill="1" applyBorder="1" applyAlignment="1">
      <alignment horizontal="center"/>
    </xf>
    <xf numFmtId="44" fontId="5" fillId="12" borderId="1" xfId="1" applyFont="1" applyFill="1" applyBorder="1" applyAlignment="1">
      <alignment horizontal="center"/>
    </xf>
    <xf numFmtId="0" fontId="8" fillId="19" borderId="0" xfId="0" applyFont="1" applyFill="1"/>
    <xf numFmtId="0" fontId="2" fillId="19" borderId="0" xfId="0" applyFont="1" applyFill="1"/>
    <xf numFmtId="0" fontId="7" fillId="19" borderId="1" xfId="0" applyFont="1" applyFill="1" applyBorder="1" applyAlignment="1">
      <alignment horizontal="center" wrapText="1"/>
    </xf>
    <xf numFmtId="44" fontId="5" fillId="19" borderId="1" xfId="1" applyFont="1" applyFill="1" applyBorder="1" applyAlignment="1">
      <alignment horizontal="center"/>
    </xf>
    <xf numFmtId="44" fontId="8" fillId="19" borderId="0" xfId="1" applyFont="1" applyFill="1" applyAlignment="1">
      <alignment horizontal="center"/>
    </xf>
    <xf numFmtId="44" fontId="7" fillId="19" borderId="1" xfId="1" applyFont="1" applyFill="1" applyBorder="1" applyAlignment="1">
      <alignment horizontal="center" wrapText="1"/>
    </xf>
    <xf numFmtId="0" fontId="6" fillId="20" borderId="11" xfId="0" applyFont="1" applyFill="1" applyBorder="1"/>
    <xf numFmtId="0" fontId="2" fillId="20" borderId="11" xfId="0" applyFont="1" applyFill="1" applyBorder="1"/>
    <xf numFmtId="0" fontId="12" fillId="16" borderId="1" xfId="0" applyFont="1" applyFill="1" applyBorder="1" applyAlignment="1">
      <alignment horizontal="center"/>
    </xf>
    <xf numFmtId="44" fontId="2" fillId="21" borderId="0" xfId="0" applyNumberFormat="1" applyFont="1" applyFill="1"/>
    <xf numFmtId="0" fontId="2" fillId="21" borderId="0" xfId="0" applyFont="1" applyFill="1"/>
    <xf numFmtId="44" fontId="2" fillId="22" borderId="0" xfId="0" applyNumberFormat="1" applyFont="1" applyFill="1"/>
    <xf numFmtId="44" fontId="5" fillId="6" borderId="7" xfId="1" applyFont="1" applyFill="1" applyBorder="1" applyAlignment="1">
      <alignment horizontal="center"/>
    </xf>
    <xf numFmtId="44" fontId="5" fillId="7" borderId="7" xfId="1" applyFont="1" applyFill="1" applyBorder="1" applyAlignment="1">
      <alignment horizontal="center"/>
    </xf>
    <xf numFmtId="44" fontId="5" fillId="5" borderId="7" xfId="1" applyFont="1" applyFill="1" applyBorder="1" applyAlignment="1">
      <alignment horizontal="center" wrapText="1"/>
    </xf>
    <xf numFmtId="44" fontId="5" fillId="4" borderId="7" xfId="1" applyFont="1" applyFill="1" applyBorder="1" applyAlignment="1">
      <alignment horizontal="center" wrapText="1"/>
    </xf>
    <xf numFmtId="0" fontId="6" fillId="9" borderId="10" xfId="0" applyFont="1" applyFill="1" applyBorder="1" applyAlignment="1">
      <alignment horizontal="left"/>
    </xf>
    <xf numFmtId="0" fontId="25" fillId="0" borderId="0" xfId="0" applyFont="1"/>
    <xf numFmtId="0" fontId="2" fillId="23" borderId="11" xfId="0" applyFont="1" applyFill="1" applyBorder="1"/>
    <xf numFmtId="0" fontId="2" fillId="23" borderId="0" xfId="0" applyFont="1" applyFill="1"/>
    <xf numFmtId="0" fontId="2" fillId="11" borderId="11" xfId="0" applyFont="1" applyFill="1" applyBorder="1"/>
    <xf numFmtId="0" fontId="2" fillId="19" borderId="11" xfId="0" applyFont="1" applyFill="1" applyBorder="1"/>
    <xf numFmtId="9" fontId="2" fillId="0" borderId="0" xfId="3" applyFont="1"/>
    <xf numFmtId="0" fontId="5" fillId="0" borderId="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9" borderId="12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6" fillId="9" borderId="0" xfId="0" applyFont="1" applyFill="1" applyAlignment="1">
      <alignment horizontal="center"/>
    </xf>
    <xf numFmtId="0" fontId="6" fillId="9" borderId="3" xfId="0" applyFont="1" applyFill="1" applyBorder="1" applyAlignment="1">
      <alignment horizontal="center" wrapText="1"/>
    </xf>
    <xf numFmtId="0" fontId="6" fillId="9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5" fillId="0" borderId="2" xfId="0" applyFont="1" applyBorder="1" applyAlignment="1">
      <alignment horizontal="left"/>
    </xf>
    <xf numFmtId="0" fontId="2" fillId="0" borderId="1" xfId="0" applyFont="1" applyBorder="1"/>
    <xf numFmtId="0" fontId="0" fillId="24" borderId="0" xfId="0" applyFill="1"/>
    <xf numFmtId="0" fontId="0" fillId="14" borderId="0" xfId="0" applyFill="1"/>
    <xf numFmtId="0" fontId="0" fillId="6" borderId="0" xfId="0" applyFill="1"/>
    <xf numFmtId="0" fontId="5" fillId="20" borderId="1" xfId="0" applyFont="1" applyFill="1" applyBorder="1" applyAlignment="1">
      <alignment horizontal="center"/>
    </xf>
    <xf numFmtId="44" fontId="5" fillId="20" borderId="1" xfId="1" applyFont="1" applyFill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0" fillId="0" borderId="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43" fontId="0" fillId="0" borderId="23" xfId="2" applyFont="1" applyBorder="1"/>
    <xf numFmtId="0" fontId="0" fillId="14" borderId="20" xfId="0" applyFill="1" applyBorder="1"/>
    <xf numFmtId="44" fontId="0" fillId="0" borderId="0" xfId="0" applyNumberFormat="1"/>
    <xf numFmtId="0" fontId="6" fillId="0" borderId="7" xfId="0" applyFont="1" applyBorder="1" applyAlignment="1">
      <alignment horizontal="center"/>
    </xf>
    <xf numFmtId="44" fontId="5" fillId="10" borderId="7" xfId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/>
    </xf>
    <xf numFmtId="44" fontId="5" fillId="7" borderId="1" xfId="1" applyFont="1" applyFill="1" applyBorder="1" applyAlignment="1">
      <alignment horizontal="center" wrapText="1"/>
    </xf>
    <xf numFmtId="0" fontId="6" fillId="20" borderId="3" xfId="0" applyFont="1" applyFill="1" applyBorder="1" applyAlignment="1">
      <alignment horizontal="left"/>
    </xf>
    <xf numFmtId="0" fontId="27" fillId="9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12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/>
    </xf>
    <xf numFmtId="0" fontId="6" fillId="11" borderId="11" xfId="0" applyFont="1" applyFill="1" applyBorder="1"/>
    <xf numFmtId="0" fontId="12" fillId="0" borderId="1" xfId="0" applyFont="1" applyBorder="1" applyAlignment="1">
      <alignment horizontal="center"/>
    </xf>
    <xf numFmtId="0" fontId="2" fillId="25" borderId="11" xfId="0" applyFont="1" applyFill="1" applyBorder="1"/>
    <xf numFmtId="0" fontId="5" fillId="9" borderId="1" xfId="0" applyFont="1" applyFill="1" applyBorder="1" applyAlignment="1">
      <alignment horizontal="center" wrapText="1"/>
    </xf>
    <xf numFmtId="0" fontId="8" fillId="9" borderId="2" xfId="0" applyFont="1" applyFill="1" applyBorder="1" applyAlignment="1">
      <alignment horizontal="center" wrapText="1"/>
    </xf>
    <xf numFmtId="0" fontId="2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5" fillId="10" borderId="0" xfId="0" applyFont="1" applyFill="1"/>
    <xf numFmtId="0" fontId="5" fillId="19" borderId="0" xfId="0" applyFont="1" applyFill="1"/>
    <xf numFmtId="44" fontId="5" fillId="10" borderId="0" xfId="1" applyFont="1" applyFill="1" applyAlignment="1">
      <alignment horizontal="center"/>
    </xf>
    <xf numFmtId="0" fontId="6" fillId="10" borderId="0" xfId="0" applyFont="1" applyFill="1"/>
    <xf numFmtId="0" fontId="6" fillId="19" borderId="0" xfId="0" applyFont="1" applyFill="1"/>
    <xf numFmtId="44" fontId="5" fillId="10" borderId="7" xfId="1" applyFont="1" applyFill="1" applyBorder="1" applyAlignment="1">
      <alignment horizontal="center"/>
    </xf>
    <xf numFmtId="0" fontId="5" fillId="10" borderId="7" xfId="0" applyFont="1" applyFill="1" applyBorder="1" applyAlignment="1">
      <alignment horizontal="center"/>
    </xf>
    <xf numFmtId="0" fontId="5" fillId="10" borderId="7" xfId="0" applyFont="1" applyFill="1" applyBorder="1"/>
    <xf numFmtId="0" fontId="2" fillId="14" borderId="0" xfId="0" applyFont="1" applyFill="1"/>
    <xf numFmtId="44" fontId="5" fillId="15" borderId="7" xfId="1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44" fontId="5" fillId="19" borderId="10" xfId="1" applyFont="1" applyFill="1" applyBorder="1" applyAlignment="1">
      <alignment horizontal="center"/>
    </xf>
    <xf numFmtId="2" fontId="2" fillId="0" borderId="11" xfId="0" applyNumberFormat="1" applyFont="1" applyBorder="1"/>
    <xf numFmtId="9" fontId="2" fillId="0" borderId="11" xfId="0" applyNumberFormat="1" applyFont="1" applyBorder="1"/>
    <xf numFmtId="43" fontId="2" fillId="0" borderId="0" xfId="2" applyFont="1"/>
    <xf numFmtId="44" fontId="5" fillId="0" borderId="1" xfId="1" applyNumberFormat="1" applyFont="1" applyBorder="1" applyAlignment="1">
      <alignment horizontal="center"/>
    </xf>
    <xf numFmtId="44" fontId="2" fillId="0" borderId="0" xfId="3" applyNumberFormat="1" applyFont="1"/>
    <xf numFmtId="44" fontId="5" fillId="27" borderId="1" xfId="1" applyFont="1" applyFill="1" applyBorder="1" applyAlignment="1">
      <alignment horizontal="center"/>
    </xf>
    <xf numFmtId="0" fontId="2" fillId="0" borderId="11" xfId="0" applyFont="1" applyFill="1" applyBorder="1"/>
    <xf numFmtId="0" fontId="2" fillId="20" borderId="0" xfId="0" applyFont="1" applyFill="1"/>
    <xf numFmtId="0" fontId="5" fillId="9" borderId="8" xfId="0" applyFont="1" applyFill="1" applyBorder="1" applyAlignment="1">
      <alignment horizontal="left"/>
    </xf>
    <xf numFmtId="0" fontId="5" fillId="9" borderId="9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9" borderId="8" xfId="0" applyFont="1" applyFill="1" applyBorder="1" applyAlignment="1">
      <alignment horizontal="left"/>
    </xf>
    <xf numFmtId="0" fontId="8" fillId="9" borderId="9" xfId="0" applyFont="1" applyFill="1" applyBorder="1" applyAlignment="1">
      <alignment horizontal="left"/>
    </xf>
    <xf numFmtId="0" fontId="17" fillId="0" borderId="4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 wrapText="1"/>
    </xf>
    <xf numFmtId="0" fontId="4" fillId="26" borderId="6" xfId="0" applyFont="1" applyFill="1" applyBorder="1" applyAlignment="1">
      <alignment horizontal="center"/>
    </xf>
    <xf numFmtId="0" fontId="3" fillId="26" borderId="6" xfId="0" applyFont="1" applyFill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18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C99FF"/>
      <color rgb="FF9A5138"/>
      <color rgb="FF7EA2A8"/>
      <color rgb="FF282828"/>
      <color rgb="FF6C1A0F"/>
      <color rgb="FF993300"/>
      <color rgb="FF000000"/>
      <color rgb="FFDBD4C6"/>
      <color rgb="FF00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19050</xdr:colOff>
      <xdr:row>0</xdr:row>
      <xdr:rowOff>2884262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B4E27A-6DB6-CBF0-5E9A-BA1B2DA8A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6810375" cy="2884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DEE75-4596-4A49-950D-A57943351DF7}">
  <dimension ref="A1:H224"/>
  <sheetViews>
    <sheetView workbookViewId="0"/>
  </sheetViews>
  <sheetFormatPr defaultColWidth="9.140625" defaultRowHeight="12" x14ac:dyDescent="0.2"/>
  <cols>
    <col min="1" max="1" width="7" style="59" customWidth="1"/>
    <col min="2" max="2" width="42.42578125" style="3" bestFit="1" customWidth="1"/>
    <col min="3" max="3" width="11.85546875" style="9" customWidth="1"/>
    <col min="4" max="4" width="10.7109375" style="45" customWidth="1"/>
    <col min="5" max="5" width="10.7109375" style="46" customWidth="1"/>
    <col min="6" max="6" width="10.7109375" style="51" customWidth="1"/>
    <col min="7" max="7" width="10.7109375" style="52" customWidth="1"/>
    <col min="8" max="8" width="10.7109375" style="53" customWidth="1"/>
    <col min="9" max="16384" width="9.140625" style="1"/>
  </cols>
  <sheetData>
    <row r="1" spans="1:8" x14ac:dyDescent="0.2">
      <c r="A1" s="54"/>
      <c r="F1" s="26">
        <v>0.03</v>
      </c>
      <c r="G1" s="27">
        <v>0.05</v>
      </c>
      <c r="H1" s="28">
        <v>0.06</v>
      </c>
    </row>
    <row r="2" spans="1:8" ht="23.25" customHeight="1" x14ac:dyDescent="0.3">
      <c r="A2" s="275" t="s">
        <v>207</v>
      </c>
      <c r="B2" s="276"/>
      <c r="C2" s="276"/>
      <c r="D2" s="276"/>
      <c r="E2" s="276"/>
      <c r="F2" s="276"/>
      <c r="G2" s="276"/>
      <c r="H2" s="276"/>
    </row>
    <row r="3" spans="1:8" ht="33.75" x14ac:dyDescent="0.2">
      <c r="A3" s="55" t="s">
        <v>5</v>
      </c>
      <c r="B3" s="4" t="s">
        <v>205</v>
      </c>
      <c r="C3" s="10" t="s">
        <v>21</v>
      </c>
      <c r="D3" s="29" t="s">
        <v>0</v>
      </c>
      <c r="E3" s="30" t="s">
        <v>4</v>
      </c>
      <c r="F3" s="31" t="s">
        <v>1</v>
      </c>
      <c r="G3" s="32" t="s">
        <v>2</v>
      </c>
      <c r="H3" s="33" t="s">
        <v>3</v>
      </c>
    </row>
    <row r="4" spans="1:8" x14ac:dyDescent="0.2">
      <c r="A4" s="20"/>
      <c r="B4" s="5" t="s">
        <v>6</v>
      </c>
      <c r="C4" s="11"/>
      <c r="D4" s="47"/>
      <c r="E4" s="47"/>
      <c r="F4" s="47"/>
      <c r="G4" s="47"/>
      <c r="H4" s="47"/>
    </row>
    <row r="5" spans="1:8" x14ac:dyDescent="0.2">
      <c r="A5" s="56" t="s">
        <v>7</v>
      </c>
      <c r="B5" s="6" t="s">
        <v>13</v>
      </c>
      <c r="C5" s="12" t="s">
        <v>14</v>
      </c>
      <c r="D5" s="34">
        <v>470</v>
      </c>
      <c r="E5" s="35">
        <v>336</v>
      </c>
      <c r="F5" s="23">
        <f>$E5*(1-F$1)</f>
        <v>325.92</v>
      </c>
      <c r="G5" s="24">
        <f t="shared" ref="G5:H20" si="0">$E5*(1-G$1)</f>
        <v>319.2</v>
      </c>
      <c r="H5" s="25">
        <f t="shared" si="0"/>
        <v>315.83999999999997</v>
      </c>
    </row>
    <row r="6" spans="1:8" x14ac:dyDescent="0.2">
      <c r="A6" s="57" t="s">
        <v>8</v>
      </c>
      <c r="B6" s="6" t="s">
        <v>15</v>
      </c>
      <c r="C6" s="12" t="s">
        <v>14</v>
      </c>
      <c r="D6" s="34">
        <v>463</v>
      </c>
      <c r="E6" s="35">
        <v>289</v>
      </c>
      <c r="F6" s="23">
        <f t="shared" ref="F6:H21" si="1">$E6*(1-F$1)</f>
        <v>280.33</v>
      </c>
      <c r="G6" s="24">
        <f t="shared" si="0"/>
        <v>274.55</v>
      </c>
      <c r="H6" s="25">
        <f t="shared" si="0"/>
        <v>271.65999999999997</v>
      </c>
    </row>
    <row r="7" spans="1:8" x14ac:dyDescent="0.2">
      <c r="A7" s="57" t="s">
        <v>9</v>
      </c>
      <c r="B7" s="6" t="s">
        <v>16</v>
      </c>
      <c r="C7" s="12" t="s">
        <v>14</v>
      </c>
      <c r="D7" s="34">
        <v>625</v>
      </c>
      <c r="E7" s="35">
        <v>463</v>
      </c>
      <c r="F7" s="23">
        <f t="shared" si="1"/>
        <v>449.11</v>
      </c>
      <c r="G7" s="24">
        <f t="shared" si="0"/>
        <v>439.84999999999997</v>
      </c>
      <c r="H7" s="25">
        <f t="shared" si="0"/>
        <v>435.21999999999997</v>
      </c>
    </row>
    <row r="8" spans="1:8" x14ac:dyDescent="0.2">
      <c r="A8" s="57" t="s">
        <v>10</v>
      </c>
      <c r="B8" s="6" t="s">
        <v>17</v>
      </c>
      <c r="C8" s="12" t="s">
        <v>14</v>
      </c>
      <c r="D8" s="34">
        <v>450</v>
      </c>
      <c r="E8" s="35">
        <v>316</v>
      </c>
      <c r="F8" s="23">
        <f t="shared" si="1"/>
        <v>306.52</v>
      </c>
      <c r="G8" s="24">
        <f t="shared" si="0"/>
        <v>300.2</v>
      </c>
      <c r="H8" s="25">
        <f t="shared" si="0"/>
        <v>297.03999999999996</v>
      </c>
    </row>
    <row r="9" spans="1:8" x14ac:dyDescent="0.2">
      <c r="A9" s="57" t="s">
        <v>11</v>
      </c>
      <c r="B9" s="6" t="s">
        <v>18</v>
      </c>
      <c r="C9" s="12" t="s">
        <v>14</v>
      </c>
      <c r="D9" s="34">
        <v>405</v>
      </c>
      <c r="E9" s="35">
        <v>253</v>
      </c>
      <c r="F9" s="23">
        <f t="shared" si="1"/>
        <v>245.41</v>
      </c>
      <c r="G9" s="24">
        <f t="shared" si="0"/>
        <v>240.35</v>
      </c>
      <c r="H9" s="25">
        <f t="shared" si="0"/>
        <v>237.82</v>
      </c>
    </row>
    <row r="10" spans="1:8" x14ac:dyDescent="0.2">
      <c r="A10" s="58" t="s">
        <v>12</v>
      </c>
      <c r="B10" s="7" t="s">
        <v>19</v>
      </c>
      <c r="C10" s="13" t="s">
        <v>14</v>
      </c>
      <c r="D10" s="36">
        <v>605</v>
      </c>
      <c r="E10" s="37">
        <v>380</v>
      </c>
      <c r="F10" s="23">
        <f t="shared" si="1"/>
        <v>368.59999999999997</v>
      </c>
      <c r="G10" s="24">
        <f t="shared" si="0"/>
        <v>361</v>
      </c>
      <c r="H10" s="25">
        <f t="shared" si="0"/>
        <v>357.2</v>
      </c>
    </row>
    <row r="11" spans="1:8" x14ac:dyDescent="0.2">
      <c r="A11" s="20"/>
      <c r="B11" s="2" t="s">
        <v>20</v>
      </c>
      <c r="C11" s="14"/>
      <c r="D11" s="48"/>
      <c r="E11" s="48"/>
      <c r="F11" s="48"/>
      <c r="G11" s="48"/>
      <c r="H11" s="48"/>
    </row>
    <row r="12" spans="1:8" x14ac:dyDescent="0.2">
      <c r="A12" s="59">
        <v>4</v>
      </c>
      <c r="B12" s="6" t="s">
        <v>22</v>
      </c>
      <c r="C12" s="12" t="s">
        <v>14</v>
      </c>
      <c r="D12" s="34">
        <v>686</v>
      </c>
      <c r="E12" s="35">
        <v>464</v>
      </c>
      <c r="F12" s="23">
        <f t="shared" si="1"/>
        <v>450.08</v>
      </c>
      <c r="G12" s="24">
        <f t="shared" si="0"/>
        <v>440.79999999999995</v>
      </c>
      <c r="H12" s="25">
        <f t="shared" si="0"/>
        <v>436.15999999999997</v>
      </c>
    </row>
    <row r="13" spans="1:8" x14ac:dyDescent="0.2">
      <c r="A13" s="59">
        <v>5</v>
      </c>
      <c r="B13" s="6" t="s">
        <v>23</v>
      </c>
      <c r="C13" s="12" t="s">
        <v>14</v>
      </c>
      <c r="D13" s="34">
        <v>468</v>
      </c>
      <c r="E13" s="35">
        <v>361</v>
      </c>
      <c r="F13" s="23">
        <f t="shared" si="1"/>
        <v>350.17</v>
      </c>
      <c r="G13" s="24">
        <f t="shared" si="0"/>
        <v>342.95</v>
      </c>
      <c r="H13" s="25">
        <f t="shared" si="0"/>
        <v>339.34</v>
      </c>
    </row>
    <row r="14" spans="1:8" x14ac:dyDescent="0.2">
      <c r="A14" s="59">
        <v>6</v>
      </c>
      <c r="B14" s="6" t="s">
        <v>25</v>
      </c>
      <c r="C14" s="12" t="s">
        <v>14</v>
      </c>
      <c r="D14" s="34">
        <v>655</v>
      </c>
      <c r="E14" s="35">
        <v>442</v>
      </c>
      <c r="F14" s="23">
        <f t="shared" si="1"/>
        <v>428.74</v>
      </c>
      <c r="G14" s="24">
        <f t="shared" si="0"/>
        <v>419.9</v>
      </c>
      <c r="H14" s="25">
        <f t="shared" si="0"/>
        <v>415.47999999999996</v>
      </c>
    </row>
    <row r="15" spans="1:8" x14ac:dyDescent="0.2">
      <c r="A15" s="59">
        <v>7</v>
      </c>
      <c r="B15" s="6" t="s">
        <v>24</v>
      </c>
      <c r="C15" s="12" t="s">
        <v>14</v>
      </c>
      <c r="D15" s="34">
        <v>655</v>
      </c>
      <c r="E15" s="35">
        <v>442</v>
      </c>
      <c r="F15" s="23">
        <f t="shared" si="1"/>
        <v>428.74</v>
      </c>
      <c r="G15" s="24">
        <f t="shared" si="0"/>
        <v>419.9</v>
      </c>
      <c r="H15" s="25">
        <f t="shared" si="0"/>
        <v>415.47999999999996</v>
      </c>
    </row>
    <row r="16" spans="1:8" x14ac:dyDescent="0.2">
      <c r="A16" s="59">
        <v>8</v>
      </c>
      <c r="B16" s="6" t="s">
        <v>26</v>
      </c>
      <c r="C16" s="12" t="s">
        <v>14</v>
      </c>
      <c r="D16" s="34">
        <v>479</v>
      </c>
      <c r="E16" s="35">
        <v>369</v>
      </c>
      <c r="F16" s="23">
        <f t="shared" si="1"/>
        <v>357.93</v>
      </c>
      <c r="G16" s="24">
        <f t="shared" si="0"/>
        <v>350.55</v>
      </c>
      <c r="H16" s="25">
        <f t="shared" si="0"/>
        <v>346.85999999999996</v>
      </c>
    </row>
    <row r="17" spans="1:8" x14ac:dyDescent="0.2">
      <c r="A17" s="60">
        <v>9</v>
      </c>
      <c r="B17" s="7" t="s">
        <v>27</v>
      </c>
      <c r="C17" s="13" t="s">
        <v>14</v>
      </c>
      <c r="D17" s="36">
        <v>462</v>
      </c>
      <c r="E17" s="37">
        <v>356</v>
      </c>
      <c r="F17" s="23">
        <f t="shared" si="1"/>
        <v>345.32</v>
      </c>
      <c r="G17" s="24">
        <f t="shared" si="0"/>
        <v>338.2</v>
      </c>
      <c r="H17" s="25">
        <f t="shared" si="0"/>
        <v>334.64</v>
      </c>
    </row>
    <row r="18" spans="1:8" x14ac:dyDescent="0.2">
      <c r="A18" s="20"/>
      <c r="B18" s="2" t="s">
        <v>28</v>
      </c>
      <c r="C18" s="14"/>
      <c r="D18" s="48"/>
      <c r="E18" s="48"/>
      <c r="F18" s="48"/>
      <c r="G18" s="48"/>
      <c r="H18" s="48"/>
    </row>
    <row r="19" spans="1:8" x14ac:dyDescent="0.2">
      <c r="A19" s="61">
        <v>10</v>
      </c>
      <c r="B19" s="8" t="s">
        <v>29</v>
      </c>
      <c r="C19" s="15" t="s">
        <v>14</v>
      </c>
      <c r="D19" s="21">
        <v>980</v>
      </c>
      <c r="E19" s="22">
        <v>701</v>
      </c>
      <c r="F19" s="23">
        <f t="shared" si="1"/>
        <v>679.97</v>
      </c>
      <c r="G19" s="24">
        <f t="shared" si="0"/>
        <v>665.94999999999993</v>
      </c>
      <c r="H19" s="25">
        <f t="shared" si="0"/>
        <v>658.93999999999994</v>
      </c>
    </row>
    <row r="20" spans="1:8" x14ac:dyDescent="0.2">
      <c r="A20" s="59">
        <v>11</v>
      </c>
      <c r="B20" s="6" t="s">
        <v>30</v>
      </c>
      <c r="C20" s="12" t="s">
        <v>14</v>
      </c>
      <c r="D20" s="34">
        <v>799</v>
      </c>
      <c r="E20" s="35">
        <v>572</v>
      </c>
      <c r="F20" s="23">
        <f t="shared" si="1"/>
        <v>554.84</v>
      </c>
      <c r="G20" s="24">
        <f t="shared" si="0"/>
        <v>543.4</v>
      </c>
      <c r="H20" s="25">
        <f t="shared" si="0"/>
        <v>537.67999999999995</v>
      </c>
    </row>
    <row r="21" spans="1:8" x14ac:dyDescent="0.2">
      <c r="A21" s="59">
        <v>12</v>
      </c>
      <c r="B21" s="6" t="s">
        <v>31</v>
      </c>
      <c r="C21" s="12" t="s">
        <v>14</v>
      </c>
      <c r="D21" s="34">
        <v>702</v>
      </c>
      <c r="E21" s="35">
        <v>503</v>
      </c>
      <c r="F21" s="23">
        <f t="shared" si="1"/>
        <v>487.90999999999997</v>
      </c>
      <c r="G21" s="24">
        <f t="shared" si="1"/>
        <v>477.84999999999997</v>
      </c>
      <c r="H21" s="25">
        <f t="shared" si="1"/>
        <v>472.82</v>
      </c>
    </row>
    <row r="22" spans="1:8" x14ac:dyDescent="0.2">
      <c r="A22" s="59">
        <v>13</v>
      </c>
      <c r="B22" s="6" t="s">
        <v>32</v>
      </c>
      <c r="C22" s="12" t="s">
        <v>14</v>
      </c>
      <c r="D22" s="34">
        <v>357</v>
      </c>
      <c r="E22" s="35">
        <v>256</v>
      </c>
      <c r="F22" s="23">
        <f t="shared" ref="F22:H38" si="2">$E22*(1-F$1)</f>
        <v>248.32</v>
      </c>
      <c r="G22" s="24">
        <f t="shared" si="2"/>
        <v>243.2</v>
      </c>
      <c r="H22" s="25">
        <f t="shared" si="2"/>
        <v>240.64</v>
      </c>
    </row>
    <row r="23" spans="1:8" x14ac:dyDescent="0.2">
      <c r="A23" s="60">
        <v>14</v>
      </c>
      <c r="B23" s="7" t="s">
        <v>33</v>
      </c>
      <c r="C23" s="13" t="s">
        <v>14</v>
      </c>
      <c r="D23" s="36">
        <v>783</v>
      </c>
      <c r="E23" s="37">
        <v>559</v>
      </c>
      <c r="F23" s="23">
        <f t="shared" ref="F23:H24" si="3">$E23*(1-F$1)</f>
        <v>542.23</v>
      </c>
      <c r="G23" s="24">
        <f t="shared" si="3"/>
        <v>531.04999999999995</v>
      </c>
      <c r="H23" s="25">
        <f t="shared" si="3"/>
        <v>525.45999999999992</v>
      </c>
    </row>
    <row r="24" spans="1:8" x14ac:dyDescent="0.2">
      <c r="A24" s="60">
        <v>15</v>
      </c>
      <c r="B24" s="7" t="s">
        <v>206</v>
      </c>
      <c r="C24" s="13" t="s">
        <v>14</v>
      </c>
      <c r="D24" s="36">
        <v>640</v>
      </c>
      <c r="E24" s="37">
        <v>322</v>
      </c>
      <c r="F24" s="23">
        <f t="shared" si="3"/>
        <v>312.33999999999997</v>
      </c>
      <c r="G24" s="24">
        <f t="shared" si="3"/>
        <v>305.89999999999998</v>
      </c>
      <c r="H24" s="25">
        <f t="shared" si="3"/>
        <v>302.68</v>
      </c>
    </row>
    <row r="25" spans="1:8" x14ac:dyDescent="0.2">
      <c r="A25" s="20"/>
      <c r="B25" s="2" t="s">
        <v>34</v>
      </c>
      <c r="C25" s="14"/>
      <c r="D25" s="48"/>
      <c r="E25" s="48"/>
      <c r="F25" s="48"/>
      <c r="G25" s="48"/>
      <c r="H25" s="48"/>
    </row>
    <row r="26" spans="1:8" x14ac:dyDescent="0.2">
      <c r="A26" s="61">
        <v>16</v>
      </c>
      <c r="B26" s="8" t="s">
        <v>35</v>
      </c>
      <c r="C26" s="15" t="s">
        <v>14</v>
      </c>
      <c r="D26" s="21">
        <v>428</v>
      </c>
      <c r="E26" s="22">
        <v>318</v>
      </c>
      <c r="F26" s="23">
        <f t="shared" si="2"/>
        <v>308.45999999999998</v>
      </c>
      <c r="G26" s="24">
        <f t="shared" si="2"/>
        <v>302.09999999999997</v>
      </c>
      <c r="H26" s="25">
        <f t="shared" si="2"/>
        <v>298.91999999999996</v>
      </c>
    </row>
    <row r="27" spans="1:8" x14ac:dyDescent="0.2">
      <c r="A27" s="59">
        <v>17</v>
      </c>
      <c r="B27" s="6" t="s">
        <v>36</v>
      </c>
      <c r="C27" s="12" t="s">
        <v>14</v>
      </c>
      <c r="D27" s="34">
        <v>557</v>
      </c>
      <c r="E27" s="35">
        <v>412</v>
      </c>
      <c r="F27" s="23">
        <f t="shared" si="2"/>
        <v>399.64</v>
      </c>
      <c r="G27" s="24">
        <f t="shared" si="2"/>
        <v>391.4</v>
      </c>
      <c r="H27" s="25">
        <f t="shared" si="2"/>
        <v>387.28</v>
      </c>
    </row>
    <row r="28" spans="1:8" x14ac:dyDescent="0.2">
      <c r="A28" s="59">
        <v>18</v>
      </c>
      <c r="B28" s="6" t="s">
        <v>37</v>
      </c>
      <c r="C28" s="12" t="s">
        <v>14</v>
      </c>
      <c r="D28" s="34">
        <v>370</v>
      </c>
      <c r="E28" s="35">
        <v>266</v>
      </c>
      <c r="F28" s="23">
        <f t="shared" si="2"/>
        <v>258.02</v>
      </c>
      <c r="G28" s="24">
        <f t="shared" si="2"/>
        <v>252.7</v>
      </c>
      <c r="H28" s="25">
        <f t="shared" si="2"/>
        <v>250.04</v>
      </c>
    </row>
    <row r="29" spans="1:8" x14ac:dyDescent="0.2">
      <c r="A29" s="59">
        <v>19</v>
      </c>
      <c r="B29" s="6" t="s">
        <v>38</v>
      </c>
      <c r="C29" s="12" t="s">
        <v>14</v>
      </c>
      <c r="D29" s="34">
        <v>431</v>
      </c>
      <c r="E29" s="35">
        <v>308</v>
      </c>
      <c r="F29" s="23">
        <f t="shared" si="2"/>
        <v>298.76</v>
      </c>
      <c r="G29" s="24">
        <f t="shared" si="2"/>
        <v>292.59999999999997</v>
      </c>
      <c r="H29" s="25">
        <f t="shared" si="2"/>
        <v>289.52</v>
      </c>
    </row>
    <row r="30" spans="1:8" x14ac:dyDescent="0.2">
      <c r="A30" s="16">
        <v>20</v>
      </c>
      <c r="B30" s="6" t="s">
        <v>39</v>
      </c>
      <c r="C30" s="12" t="s">
        <v>14</v>
      </c>
      <c r="D30" s="34">
        <v>454</v>
      </c>
      <c r="E30" s="35">
        <v>337</v>
      </c>
      <c r="F30" s="23">
        <f t="shared" si="2"/>
        <v>326.89</v>
      </c>
      <c r="G30" s="24">
        <f t="shared" si="2"/>
        <v>320.14999999999998</v>
      </c>
      <c r="H30" s="25">
        <f t="shared" si="2"/>
        <v>316.77999999999997</v>
      </c>
    </row>
    <row r="31" spans="1:8" x14ac:dyDescent="0.2">
      <c r="A31" s="59">
        <v>21</v>
      </c>
      <c r="B31" s="7" t="s">
        <v>48</v>
      </c>
      <c r="C31" s="13" t="s">
        <v>14</v>
      </c>
      <c r="D31" s="36">
        <v>402</v>
      </c>
      <c r="E31" s="37">
        <v>279</v>
      </c>
      <c r="F31" s="23">
        <f t="shared" si="2"/>
        <v>270.63</v>
      </c>
      <c r="G31" s="24">
        <f t="shared" si="2"/>
        <v>265.05</v>
      </c>
      <c r="H31" s="25">
        <f t="shared" si="2"/>
        <v>262.26</v>
      </c>
    </row>
    <row r="32" spans="1:8" x14ac:dyDescent="0.2">
      <c r="B32" s="6" t="s">
        <v>40</v>
      </c>
      <c r="C32" s="12" t="s">
        <v>14</v>
      </c>
      <c r="D32" s="34">
        <v>324</v>
      </c>
      <c r="E32" s="35">
        <v>204</v>
      </c>
      <c r="F32" s="23">
        <f t="shared" si="2"/>
        <v>197.88</v>
      </c>
      <c r="G32" s="24">
        <f t="shared" si="2"/>
        <v>193.79999999999998</v>
      </c>
      <c r="H32" s="25">
        <f t="shared" si="2"/>
        <v>191.76</v>
      </c>
    </row>
    <row r="33" spans="1:8" x14ac:dyDescent="0.2">
      <c r="B33" s="6" t="s">
        <v>41</v>
      </c>
      <c r="C33" s="12" t="s">
        <v>14</v>
      </c>
      <c r="D33" s="34">
        <v>309</v>
      </c>
      <c r="E33" s="35">
        <v>214</v>
      </c>
      <c r="F33" s="23">
        <f t="shared" si="2"/>
        <v>207.57999999999998</v>
      </c>
      <c r="G33" s="24">
        <f t="shared" si="2"/>
        <v>203.29999999999998</v>
      </c>
      <c r="H33" s="25">
        <f t="shared" si="2"/>
        <v>201.16</v>
      </c>
    </row>
    <row r="34" spans="1:8" x14ac:dyDescent="0.2">
      <c r="A34" s="60"/>
      <c r="B34" s="7" t="s">
        <v>42</v>
      </c>
      <c r="C34" s="13" t="s">
        <v>14</v>
      </c>
      <c r="D34" s="36">
        <v>225</v>
      </c>
      <c r="E34" s="37">
        <v>155</v>
      </c>
      <c r="F34" s="23">
        <f t="shared" si="2"/>
        <v>150.35</v>
      </c>
      <c r="G34" s="24">
        <f t="shared" si="2"/>
        <v>147.25</v>
      </c>
      <c r="H34" s="25">
        <f t="shared" si="2"/>
        <v>145.69999999999999</v>
      </c>
    </row>
    <row r="35" spans="1:8" x14ac:dyDescent="0.2">
      <c r="A35" s="20"/>
      <c r="B35" s="2" t="s">
        <v>43</v>
      </c>
      <c r="C35" s="14"/>
      <c r="D35" s="48"/>
      <c r="E35" s="48"/>
      <c r="F35" s="48"/>
      <c r="G35" s="48"/>
      <c r="H35" s="48"/>
    </row>
    <row r="36" spans="1:8" x14ac:dyDescent="0.2">
      <c r="A36" s="61">
        <v>22</v>
      </c>
      <c r="B36" s="8" t="s">
        <v>44</v>
      </c>
      <c r="C36" s="15" t="s">
        <v>14</v>
      </c>
      <c r="D36" s="21">
        <v>569</v>
      </c>
      <c r="E36" s="22">
        <v>379</v>
      </c>
      <c r="F36" s="23">
        <f t="shared" si="2"/>
        <v>367.63</v>
      </c>
      <c r="G36" s="24">
        <f t="shared" si="2"/>
        <v>360.05</v>
      </c>
      <c r="H36" s="25">
        <f t="shared" si="2"/>
        <v>356.26</v>
      </c>
    </row>
    <row r="37" spans="1:8" x14ac:dyDescent="0.2">
      <c r="A37" s="59">
        <v>23</v>
      </c>
      <c r="B37" s="6" t="s">
        <v>45</v>
      </c>
      <c r="C37" s="12" t="s">
        <v>14</v>
      </c>
      <c r="D37" s="34">
        <v>548</v>
      </c>
      <c r="E37" s="35">
        <v>365</v>
      </c>
      <c r="F37" s="23">
        <f t="shared" si="2"/>
        <v>354.05</v>
      </c>
      <c r="G37" s="24">
        <f t="shared" si="2"/>
        <v>346.75</v>
      </c>
      <c r="H37" s="25">
        <f t="shared" si="2"/>
        <v>343.09999999999997</v>
      </c>
    </row>
    <row r="38" spans="1:8" x14ac:dyDescent="0.2">
      <c r="A38" s="59">
        <v>24</v>
      </c>
      <c r="B38" s="6" t="s">
        <v>46</v>
      </c>
      <c r="C38" s="12" t="s">
        <v>14</v>
      </c>
      <c r="D38" s="34">
        <v>569</v>
      </c>
      <c r="E38" s="35">
        <v>379</v>
      </c>
      <c r="F38" s="23">
        <f t="shared" si="2"/>
        <v>367.63</v>
      </c>
      <c r="G38" s="24">
        <f t="shared" si="2"/>
        <v>360.05</v>
      </c>
      <c r="H38" s="25">
        <f t="shared" si="2"/>
        <v>356.26</v>
      </c>
    </row>
    <row r="39" spans="1:8" x14ac:dyDescent="0.2">
      <c r="A39" s="59">
        <v>25</v>
      </c>
      <c r="B39" s="6" t="s">
        <v>47</v>
      </c>
      <c r="C39" s="12" t="s">
        <v>14</v>
      </c>
      <c r="D39" s="34">
        <v>548</v>
      </c>
      <c r="E39" s="35">
        <v>365</v>
      </c>
      <c r="F39" s="23">
        <f t="shared" ref="F39:H54" si="4">$E39*(1-F$1)</f>
        <v>354.05</v>
      </c>
      <c r="G39" s="24">
        <f t="shared" si="4"/>
        <v>346.75</v>
      </c>
      <c r="H39" s="25">
        <f t="shared" si="4"/>
        <v>343.09999999999997</v>
      </c>
    </row>
    <row r="40" spans="1:8" x14ac:dyDescent="0.2">
      <c r="A40" s="59">
        <v>26</v>
      </c>
      <c r="B40" s="6" t="s">
        <v>250</v>
      </c>
      <c r="C40" s="12" t="s">
        <v>14</v>
      </c>
      <c r="D40" s="34">
        <v>620</v>
      </c>
      <c r="E40" s="35">
        <v>413</v>
      </c>
      <c r="F40" s="23">
        <f t="shared" si="4"/>
        <v>400.61</v>
      </c>
      <c r="G40" s="24">
        <f t="shared" si="4"/>
        <v>392.34999999999997</v>
      </c>
      <c r="H40" s="25">
        <f t="shared" si="4"/>
        <v>388.21999999999997</v>
      </c>
    </row>
    <row r="41" spans="1:8" x14ac:dyDescent="0.2">
      <c r="A41" s="59">
        <v>27</v>
      </c>
      <c r="B41" s="6" t="s">
        <v>251</v>
      </c>
      <c r="C41" s="12" t="s">
        <v>14</v>
      </c>
      <c r="D41" s="34">
        <v>599</v>
      </c>
      <c r="E41" s="35">
        <v>399</v>
      </c>
      <c r="F41" s="23">
        <f t="shared" si="4"/>
        <v>387.03</v>
      </c>
      <c r="G41" s="24">
        <f t="shared" si="4"/>
        <v>379.04999999999995</v>
      </c>
      <c r="H41" s="25">
        <f t="shared" si="4"/>
        <v>375.06</v>
      </c>
    </row>
    <row r="42" spans="1:8" x14ac:dyDescent="0.2">
      <c r="A42" s="20"/>
      <c r="B42" s="2" t="s">
        <v>49</v>
      </c>
      <c r="C42" s="14"/>
      <c r="D42" s="48"/>
      <c r="E42" s="48"/>
      <c r="F42" s="48"/>
      <c r="G42" s="48"/>
      <c r="H42" s="48"/>
    </row>
    <row r="43" spans="1:8" x14ac:dyDescent="0.2">
      <c r="A43" s="59">
        <v>28</v>
      </c>
      <c r="B43" s="6" t="s">
        <v>51</v>
      </c>
      <c r="C43" s="12" t="s">
        <v>14</v>
      </c>
      <c r="D43" s="34">
        <v>457</v>
      </c>
      <c r="E43" s="35">
        <v>328</v>
      </c>
      <c r="F43" s="23">
        <f t="shared" si="4"/>
        <v>318.15999999999997</v>
      </c>
      <c r="G43" s="24">
        <f t="shared" si="4"/>
        <v>311.59999999999997</v>
      </c>
      <c r="H43" s="25">
        <f t="shared" si="4"/>
        <v>308.32</v>
      </c>
    </row>
    <row r="44" spans="1:8" x14ac:dyDescent="0.2">
      <c r="A44" s="59">
        <v>29</v>
      </c>
      <c r="B44" s="6" t="s">
        <v>52</v>
      </c>
      <c r="C44" s="12" t="s">
        <v>14</v>
      </c>
      <c r="D44" s="34">
        <v>603</v>
      </c>
      <c r="E44" s="35">
        <v>432</v>
      </c>
      <c r="F44" s="23">
        <f t="shared" si="4"/>
        <v>419.03999999999996</v>
      </c>
      <c r="G44" s="24">
        <f t="shared" si="4"/>
        <v>410.4</v>
      </c>
      <c r="H44" s="25">
        <f t="shared" si="4"/>
        <v>406.08</v>
      </c>
    </row>
    <row r="45" spans="1:8" x14ac:dyDescent="0.2">
      <c r="A45" s="59">
        <v>30</v>
      </c>
      <c r="B45" s="6" t="s">
        <v>53</v>
      </c>
      <c r="C45" s="12" t="s">
        <v>14</v>
      </c>
      <c r="D45" s="34">
        <v>424</v>
      </c>
      <c r="E45" s="35">
        <v>304</v>
      </c>
      <c r="F45" s="23">
        <f t="shared" si="4"/>
        <v>294.88</v>
      </c>
      <c r="G45" s="24">
        <f t="shared" si="4"/>
        <v>288.8</v>
      </c>
      <c r="H45" s="25">
        <f t="shared" si="4"/>
        <v>285.76</v>
      </c>
    </row>
    <row r="46" spans="1:8" x14ac:dyDescent="0.2">
      <c r="A46" s="59">
        <v>31</v>
      </c>
      <c r="B46" s="6" t="s">
        <v>54</v>
      </c>
      <c r="C46" s="12" t="s">
        <v>14</v>
      </c>
      <c r="D46" s="34">
        <v>607</v>
      </c>
      <c r="E46" s="35">
        <v>435</v>
      </c>
      <c r="F46" s="23">
        <f t="shared" si="4"/>
        <v>421.95</v>
      </c>
      <c r="G46" s="24">
        <f t="shared" si="4"/>
        <v>413.25</v>
      </c>
      <c r="H46" s="25">
        <f t="shared" si="4"/>
        <v>408.9</v>
      </c>
    </row>
    <row r="47" spans="1:8" x14ac:dyDescent="0.2">
      <c r="A47" s="59">
        <v>32</v>
      </c>
      <c r="B47" s="6" t="s">
        <v>55</v>
      </c>
      <c r="C47" s="12" t="s">
        <v>14</v>
      </c>
      <c r="D47" s="34">
        <v>501</v>
      </c>
      <c r="E47" s="35">
        <v>359</v>
      </c>
      <c r="F47" s="23">
        <f t="shared" si="4"/>
        <v>348.23</v>
      </c>
      <c r="G47" s="24">
        <f t="shared" si="4"/>
        <v>341.05</v>
      </c>
      <c r="H47" s="25">
        <f t="shared" si="4"/>
        <v>337.46</v>
      </c>
    </row>
    <row r="48" spans="1:8" x14ac:dyDescent="0.2">
      <c r="A48" s="59">
        <v>33</v>
      </c>
      <c r="B48" s="6" t="s">
        <v>56</v>
      </c>
      <c r="C48" s="12" t="s">
        <v>14</v>
      </c>
      <c r="D48" s="34">
        <v>462</v>
      </c>
      <c r="E48" s="35">
        <v>331</v>
      </c>
      <c r="F48" s="23">
        <f t="shared" si="4"/>
        <v>321.07</v>
      </c>
      <c r="G48" s="24">
        <f t="shared" si="4"/>
        <v>314.45</v>
      </c>
      <c r="H48" s="25">
        <f t="shared" si="4"/>
        <v>311.14</v>
      </c>
    </row>
    <row r="49" spans="1:8" x14ac:dyDescent="0.2">
      <c r="A49" s="59">
        <v>34</v>
      </c>
      <c r="B49" s="6" t="s">
        <v>57</v>
      </c>
      <c r="C49" s="12" t="s">
        <v>14</v>
      </c>
      <c r="D49" s="34">
        <v>612</v>
      </c>
      <c r="E49" s="35">
        <v>446</v>
      </c>
      <c r="F49" s="23">
        <f t="shared" si="4"/>
        <v>432.62</v>
      </c>
      <c r="G49" s="24">
        <f t="shared" si="4"/>
        <v>423.7</v>
      </c>
      <c r="H49" s="25">
        <f t="shared" si="4"/>
        <v>419.23999999999995</v>
      </c>
    </row>
    <row r="50" spans="1:8" x14ac:dyDescent="0.2">
      <c r="A50" s="59">
        <v>35</v>
      </c>
      <c r="B50" s="6" t="s">
        <v>58</v>
      </c>
      <c r="C50" s="12" t="s">
        <v>14</v>
      </c>
      <c r="D50" s="34">
        <v>564</v>
      </c>
      <c r="E50" s="35">
        <v>404</v>
      </c>
      <c r="F50" s="23">
        <f t="shared" si="4"/>
        <v>391.88</v>
      </c>
      <c r="G50" s="24">
        <f t="shared" si="4"/>
        <v>383.79999999999995</v>
      </c>
      <c r="H50" s="25">
        <f t="shared" si="4"/>
        <v>379.76</v>
      </c>
    </row>
    <row r="51" spans="1:8" x14ac:dyDescent="0.2">
      <c r="A51" s="59">
        <v>36</v>
      </c>
      <c r="B51" s="6" t="s">
        <v>59</v>
      </c>
      <c r="C51" s="12" t="s">
        <v>14</v>
      </c>
      <c r="D51" s="34">
        <v>698</v>
      </c>
      <c r="E51" s="35">
        <v>500</v>
      </c>
      <c r="F51" s="23">
        <f t="shared" si="4"/>
        <v>485</v>
      </c>
      <c r="G51" s="24">
        <f t="shared" si="4"/>
        <v>475</v>
      </c>
      <c r="H51" s="25">
        <f t="shared" si="4"/>
        <v>470</v>
      </c>
    </row>
    <row r="52" spans="1:8" x14ac:dyDescent="0.2">
      <c r="A52" s="59">
        <v>37</v>
      </c>
      <c r="B52" s="6" t="s">
        <v>60</v>
      </c>
      <c r="C52" s="12" t="s">
        <v>14</v>
      </c>
      <c r="D52" s="34">
        <v>525</v>
      </c>
      <c r="E52" s="35">
        <v>376</v>
      </c>
      <c r="F52" s="23">
        <f t="shared" si="4"/>
        <v>364.71999999999997</v>
      </c>
      <c r="G52" s="24">
        <f t="shared" si="4"/>
        <v>357.2</v>
      </c>
      <c r="H52" s="25">
        <f t="shared" si="4"/>
        <v>353.44</v>
      </c>
    </row>
    <row r="53" spans="1:8" x14ac:dyDescent="0.2">
      <c r="A53" s="59">
        <v>38</v>
      </c>
      <c r="B53" s="6" t="s">
        <v>61</v>
      </c>
      <c r="C53" s="12" t="s">
        <v>14</v>
      </c>
      <c r="D53" s="34">
        <v>704</v>
      </c>
      <c r="E53" s="35">
        <v>504</v>
      </c>
      <c r="F53" s="23">
        <f t="shared" si="4"/>
        <v>488.88</v>
      </c>
      <c r="G53" s="24">
        <f t="shared" si="4"/>
        <v>478.79999999999995</v>
      </c>
      <c r="H53" s="25">
        <f t="shared" si="4"/>
        <v>473.76</v>
      </c>
    </row>
    <row r="54" spans="1:8" x14ac:dyDescent="0.2">
      <c r="A54" s="59">
        <v>39</v>
      </c>
      <c r="B54" s="6" t="s">
        <v>62</v>
      </c>
      <c r="C54" s="12" t="s">
        <v>14</v>
      </c>
      <c r="D54" s="34">
        <v>514</v>
      </c>
      <c r="E54" s="35">
        <v>368</v>
      </c>
      <c r="F54" s="23">
        <f t="shared" si="4"/>
        <v>356.96</v>
      </c>
      <c r="G54" s="24">
        <f t="shared" si="4"/>
        <v>349.59999999999997</v>
      </c>
      <c r="H54" s="25">
        <f t="shared" si="4"/>
        <v>345.91999999999996</v>
      </c>
    </row>
    <row r="55" spans="1:8" x14ac:dyDescent="0.2">
      <c r="A55" s="59">
        <v>40</v>
      </c>
      <c r="B55" s="6" t="s">
        <v>63</v>
      </c>
      <c r="C55" s="12" t="s">
        <v>14</v>
      </c>
      <c r="D55" s="34">
        <v>687</v>
      </c>
      <c r="E55" s="35">
        <v>492</v>
      </c>
      <c r="F55" s="23">
        <f t="shared" ref="F55:H70" si="5">$E55*(1-F$1)</f>
        <v>477.24</v>
      </c>
      <c r="G55" s="24">
        <f t="shared" si="5"/>
        <v>467.4</v>
      </c>
      <c r="H55" s="25">
        <f t="shared" si="5"/>
        <v>462.47999999999996</v>
      </c>
    </row>
    <row r="56" spans="1:8" x14ac:dyDescent="0.2">
      <c r="A56" s="59">
        <v>41</v>
      </c>
      <c r="B56" s="6" t="s">
        <v>64</v>
      </c>
      <c r="C56" s="12" t="s">
        <v>14</v>
      </c>
      <c r="D56" s="34">
        <v>568</v>
      </c>
      <c r="E56" s="35">
        <v>407</v>
      </c>
      <c r="F56" s="23">
        <f t="shared" si="5"/>
        <v>394.78999999999996</v>
      </c>
      <c r="G56" s="24">
        <f t="shared" si="5"/>
        <v>386.65</v>
      </c>
      <c r="H56" s="25">
        <f t="shared" si="5"/>
        <v>382.58</v>
      </c>
    </row>
    <row r="57" spans="1:8" x14ac:dyDescent="0.2">
      <c r="A57" s="59">
        <v>42</v>
      </c>
      <c r="B57" s="6" t="s">
        <v>65</v>
      </c>
      <c r="C57" s="12" t="s">
        <v>14</v>
      </c>
      <c r="D57" s="34">
        <v>663</v>
      </c>
      <c r="E57" s="35">
        <v>475</v>
      </c>
      <c r="F57" s="23">
        <f t="shared" si="5"/>
        <v>460.75</v>
      </c>
      <c r="G57" s="24">
        <f t="shared" si="5"/>
        <v>451.25</v>
      </c>
      <c r="H57" s="25">
        <f t="shared" si="5"/>
        <v>446.5</v>
      </c>
    </row>
    <row r="58" spans="1:8" x14ac:dyDescent="0.2">
      <c r="A58" s="60">
        <v>43</v>
      </c>
      <c r="B58" s="8" t="s">
        <v>50</v>
      </c>
      <c r="C58" s="15" t="s">
        <v>14</v>
      </c>
      <c r="D58" s="21">
        <v>573</v>
      </c>
      <c r="E58" s="22">
        <v>411</v>
      </c>
      <c r="F58" s="23">
        <f>$E58*(1-F$1)</f>
        <v>398.67</v>
      </c>
      <c r="G58" s="24">
        <f>$E58*(1-G$1)</f>
        <v>390.45</v>
      </c>
      <c r="H58" s="25">
        <f>$E58*(1-H$1)</f>
        <v>386.34</v>
      </c>
    </row>
    <row r="59" spans="1:8" x14ac:dyDescent="0.2">
      <c r="A59" s="20"/>
      <c r="B59" s="2" t="s">
        <v>66</v>
      </c>
      <c r="C59" s="14"/>
      <c r="D59" s="48"/>
      <c r="E59" s="48"/>
      <c r="F59" s="48"/>
      <c r="G59" s="48"/>
      <c r="H59" s="48"/>
    </row>
    <row r="60" spans="1:8" x14ac:dyDescent="0.2">
      <c r="A60" s="61">
        <v>44</v>
      </c>
      <c r="B60" s="8" t="s">
        <v>67</v>
      </c>
      <c r="C60" s="15" t="s">
        <v>188</v>
      </c>
      <c r="D60" s="21">
        <v>187</v>
      </c>
      <c r="E60" s="22">
        <v>139</v>
      </c>
      <c r="F60" s="23">
        <f t="shared" si="5"/>
        <v>134.82999999999998</v>
      </c>
      <c r="G60" s="24">
        <f t="shared" si="5"/>
        <v>132.04999999999998</v>
      </c>
      <c r="H60" s="25">
        <f t="shared" si="5"/>
        <v>130.66</v>
      </c>
    </row>
    <row r="61" spans="1:8" x14ac:dyDescent="0.2">
      <c r="A61" s="59">
        <v>45</v>
      </c>
      <c r="B61" s="6" t="s">
        <v>68</v>
      </c>
      <c r="C61" s="12" t="s">
        <v>188</v>
      </c>
      <c r="D61" s="34">
        <v>159</v>
      </c>
      <c r="E61" s="35">
        <v>119</v>
      </c>
      <c r="F61" s="23">
        <f t="shared" si="5"/>
        <v>115.42999999999999</v>
      </c>
      <c r="G61" s="24">
        <f t="shared" si="5"/>
        <v>113.05</v>
      </c>
      <c r="H61" s="25">
        <f t="shared" si="5"/>
        <v>111.86</v>
      </c>
    </row>
    <row r="62" spans="1:8" x14ac:dyDescent="0.2">
      <c r="A62" s="60">
        <v>46</v>
      </c>
      <c r="B62" s="6" t="s">
        <v>69</v>
      </c>
      <c r="C62" s="12" t="s">
        <v>188</v>
      </c>
      <c r="D62" s="34">
        <v>251</v>
      </c>
      <c r="E62" s="35">
        <v>187</v>
      </c>
      <c r="F62" s="23">
        <f t="shared" si="5"/>
        <v>181.39</v>
      </c>
      <c r="G62" s="24">
        <f t="shared" si="5"/>
        <v>177.65</v>
      </c>
      <c r="H62" s="25">
        <f t="shared" si="5"/>
        <v>175.78</v>
      </c>
    </row>
    <row r="63" spans="1:8" x14ac:dyDescent="0.2">
      <c r="A63" s="20"/>
      <c r="B63" s="2" t="s">
        <v>70</v>
      </c>
      <c r="C63" s="14"/>
      <c r="D63" s="49"/>
      <c r="E63" s="50"/>
      <c r="F63" s="50"/>
      <c r="G63" s="50"/>
      <c r="H63" s="50"/>
    </row>
    <row r="64" spans="1:8" x14ac:dyDescent="0.2">
      <c r="A64" s="61"/>
      <c r="B64" s="8" t="s">
        <v>71</v>
      </c>
      <c r="C64" s="15" t="s">
        <v>189</v>
      </c>
      <c r="D64" s="21">
        <v>25</v>
      </c>
      <c r="E64" s="22">
        <v>25</v>
      </c>
      <c r="F64" s="23">
        <v>25</v>
      </c>
      <c r="G64" s="24">
        <v>25</v>
      </c>
      <c r="H64" s="25">
        <v>25</v>
      </c>
    </row>
    <row r="65" spans="1:8" x14ac:dyDescent="0.2">
      <c r="A65" s="60"/>
      <c r="B65" s="7" t="s">
        <v>72</v>
      </c>
      <c r="C65" s="13" t="s">
        <v>189</v>
      </c>
      <c r="D65" s="36">
        <v>4</v>
      </c>
      <c r="E65" s="37">
        <v>4</v>
      </c>
      <c r="F65" s="23">
        <v>4</v>
      </c>
      <c r="G65" s="24">
        <v>4</v>
      </c>
      <c r="H65" s="25">
        <v>4</v>
      </c>
    </row>
    <row r="66" spans="1:8" x14ac:dyDescent="0.2">
      <c r="A66" s="20"/>
      <c r="B66" s="2" t="s">
        <v>73</v>
      </c>
      <c r="C66" s="14"/>
      <c r="D66" s="48"/>
      <c r="E66" s="48"/>
      <c r="F66" s="48"/>
      <c r="G66" s="48"/>
      <c r="H66" s="48"/>
    </row>
    <row r="67" spans="1:8" x14ac:dyDescent="0.2">
      <c r="A67" s="61">
        <v>50</v>
      </c>
      <c r="B67" s="8" t="s">
        <v>74</v>
      </c>
      <c r="C67" s="15" t="s">
        <v>14</v>
      </c>
      <c r="D67" s="21">
        <v>80</v>
      </c>
      <c r="E67" s="22">
        <v>53</v>
      </c>
      <c r="F67" s="23">
        <f t="shared" si="5"/>
        <v>51.41</v>
      </c>
      <c r="G67" s="24">
        <f t="shared" si="5"/>
        <v>50.349999999999994</v>
      </c>
      <c r="H67" s="25">
        <f t="shared" si="5"/>
        <v>49.82</v>
      </c>
    </row>
    <row r="68" spans="1:8" x14ac:dyDescent="0.2">
      <c r="A68" s="59">
        <v>51</v>
      </c>
      <c r="B68" s="6" t="s">
        <v>75</v>
      </c>
      <c r="C68" s="12" t="s">
        <v>14</v>
      </c>
      <c r="D68" s="34">
        <v>50</v>
      </c>
      <c r="E68" s="35">
        <v>33</v>
      </c>
      <c r="F68" s="23">
        <f t="shared" si="5"/>
        <v>32.01</v>
      </c>
      <c r="G68" s="24">
        <f t="shared" si="5"/>
        <v>31.349999999999998</v>
      </c>
      <c r="H68" s="25">
        <f t="shared" si="5"/>
        <v>31.02</v>
      </c>
    </row>
    <row r="69" spans="1:8" x14ac:dyDescent="0.2">
      <c r="A69" s="59">
        <v>52</v>
      </c>
      <c r="B69" s="6" t="s">
        <v>76</v>
      </c>
      <c r="C69" s="12" t="s">
        <v>14</v>
      </c>
      <c r="D69" s="34">
        <v>45</v>
      </c>
      <c r="E69" s="35">
        <v>29</v>
      </c>
      <c r="F69" s="23">
        <f t="shared" si="5"/>
        <v>28.13</v>
      </c>
      <c r="G69" s="24">
        <f t="shared" si="5"/>
        <v>27.549999999999997</v>
      </c>
      <c r="H69" s="25">
        <f t="shared" si="5"/>
        <v>27.259999999999998</v>
      </c>
    </row>
    <row r="70" spans="1:8" x14ac:dyDescent="0.2">
      <c r="A70" s="59">
        <v>53</v>
      </c>
      <c r="B70" s="6" t="s">
        <v>77</v>
      </c>
      <c r="C70" s="12" t="s">
        <v>14</v>
      </c>
      <c r="D70" s="34">
        <v>59</v>
      </c>
      <c r="E70" s="35">
        <v>38</v>
      </c>
      <c r="F70" s="23">
        <f t="shared" si="5"/>
        <v>36.86</v>
      </c>
      <c r="G70" s="24">
        <f t="shared" si="5"/>
        <v>36.1</v>
      </c>
      <c r="H70" s="25">
        <f t="shared" si="5"/>
        <v>35.72</v>
      </c>
    </row>
    <row r="71" spans="1:8" x14ac:dyDescent="0.2">
      <c r="A71" s="59">
        <v>54</v>
      </c>
      <c r="B71" s="6" t="s">
        <v>78</v>
      </c>
      <c r="C71" s="12" t="s">
        <v>14</v>
      </c>
      <c r="D71" s="34">
        <v>59</v>
      </c>
      <c r="E71" s="35">
        <v>38</v>
      </c>
      <c r="F71" s="23">
        <f t="shared" ref="F71:F74" si="6">$E71*(1-F$1)</f>
        <v>36.86</v>
      </c>
      <c r="G71" s="24">
        <f t="shared" ref="G71:H74" si="7">$E71*(1-G$1)</f>
        <v>36.1</v>
      </c>
      <c r="H71" s="25">
        <f t="shared" si="7"/>
        <v>35.72</v>
      </c>
    </row>
    <row r="72" spans="1:8" x14ac:dyDescent="0.2">
      <c r="A72" s="59">
        <v>55</v>
      </c>
      <c r="B72" s="6" t="s">
        <v>79</v>
      </c>
      <c r="C72" s="12" t="s">
        <v>14</v>
      </c>
      <c r="D72" s="34">
        <v>45</v>
      </c>
      <c r="E72" s="35">
        <v>26</v>
      </c>
      <c r="F72" s="23">
        <f t="shared" si="6"/>
        <v>25.22</v>
      </c>
      <c r="G72" s="24">
        <f t="shared" si="7"/>
        <v>24.7</v>
      </c>
      <c r="H72" s="25">
        <f t="shared" si="7"/>
        <v>24.439999999999998</v>
      </c>
    </row>
    <row r="73" spans="1:8" x14ac:dyDescent="0.2">
      <c r="A73" s="59">
        <v>56</v>
      </c>
      <c r="B73" s="6" t="s">
        <v>80</v>
      </c>
      <c r="C73" s="12" t="s">
        <v>14</v>
      </c>
      <c r="D73" s="34">
        <v>49</v>
      </c>
      <c r="E73" s="35">
        <v>30</v>
      </c>
      <c r="F73" s="23">
        <f t="shared" si="6"/>
        <v>29.099999999999998</v>
      </c>
      <c r="G73" s="24">
        <f t="shared" si="7"/>
        <v>28.5</v>
      </c>
      <c r="H73" s="25">
        <f t="shared" si="7"/>
        <v>28.2</v>
      </c>
    </row>
    <row r="74" spans="1:8" x14ac:dyDescent="0.2">
      <c r="A74" s="60"/>
      <c r="B74" s="7" t="s">
        <v>81</v>
      </c>
      <c r="C74" s="13" t="s">
        <v>14</v>
      </c>
      <c r="D74" s="36">
        <v>80</v>
      </c>
      <c r="E74" s="37">
        <v>54</v>
      </c>
      <c r="F74" s="23">
        <f t="shared" si="6"/>
        <v>52.379999999999995</v>
      </c>
      <c r="G74" s="24">
        <f t="shared" si="7"/>
        <v>51.3</v>
      </c>
      <c r="H74" s="25">
        <f t="shared" si="7"/>
        <v>50.76</v>
      </c>
    </row>
    <row r="75" spans="1:8" x14ac:dyDescent="0.2">
      <c r="A75" s="20"/>
      <c r="B75" s="2" t="s">
        <v>82</v>
      </c>
      <c r="C75" s="14"/>
      <c r="D75" s="48"/>
      <c r="E75" s="48"/>
      <c r="F75" s="48"/>
      <c r="G75" s="48"/>
      <c r="H75" s="48"/>
    </row>
    <row r="76" spans="1:8" x14ac:dyDescent="0.2">
      <c r="A76" s="61">
        <v>57</v>
      </c>
      <c r="B76" s="8" t="s">
        <v>83</v>
      </c>
      <c r="C76" s="15" t="s">
        <v>14</v>
      </c>
      <c r="D76" s="21">
        <v>316</v>
      </c>
      <c r="E76" s="22">
        <v>211</v>
      </c>
      <c r="F76" s="23">
        <f t="shared" ref="F76:H91" si="8">$E76*(1-F$1)</f>
        <v>204.67</v>
      </c>
      <c r="G76" s="24">
        <f t="shared" si="8"/>
        <v>200.45</v>
      </c>
      <c r="H76" s="25">
        <f t="shared" si="8"/>
        <v>198.33999999999997</v>
      </c>
    </row>
    <row r="77" spans="1:8" x14ac:dyDescent="0.2">
      <c r="A77" s="59">
        <v>58</v>
      </c>
      <c r="B77" s="6" t="s">
        <v>84</v>
      </c>
      <c r="C77" s="12" t="s">
        <v>14</v>
      </c>
      <c r="D77" s="34">
        <v>97</v>
      </c>
      <c r="E77" s="35">
        <v>69</v>
      </c>
      <c r="F77" s="23">
        <f t="shared" si="8"/>
        <v>66.929999999999993</v>
      </c>
      <c r="G77" s="24">
        <f t="shared" si="8"/>
        <v>65.55</v>
      </c>
      <c r="H77" s="25">
        <f t="shared" si="8"/>
        <v>64.86</v>
      </c>
    </row>
    <row r="78" spans="1:8" x14ac:dyDescent="0.2">
      <c r="A78" s="59">
        <v>59</v>
      </c>
      <c r="B78" s="6" t="s">
        <v>85</v>
      </c>
      <c r="C78" s="12" t="s">
        <v>14</v>
      </c>
      <c r="D78" s="34">
        <v>121</v>
      </c>
      <c r="E78" s="35">
        <v>88</v>
      </c>
      <c r="F78" s="23">
        <f t="shared" si="8"/>
        <v>85.36</v>
      </c>
      <c r="G78" s="24">
        <f t="shared" si="8"/>
        <v>83.6</v>
      </c>
      <c r="H78" s="25">
        <f t="shared" si="8"/>
        <v>82.72</v>
      </c>
    </row>
    <row r="79" spans="1:8" x14ac:dyDescent="0.2">
      <c r="A79" s="59">
        <v>60</v>
      </c>
      <c r="B79" s="6" t="s">
        <v>86</v>
      </c>
      <c r="C79" s="12" t="s">
        <v>14</v>
      </c>
      <c r="D79" s="34">
        <v>148</v>
      </c>
      <c r="E79" s="35">
        <v>118</v>
      </c>
      <c r="F79" s="23">
        <f t="shared" si="8"/>
        <v>114.46</v>
      </c>
      <c r="G79" s="24">
        <f t="shared" si="8"/>
        <v>112.1</v>
      </c>
      <c r="H79" s="25">
        <f t="shared" si="8"/>
        <v>110.91999999999999</v>
      </c>
    </row>
    <row r="80" spans="1:8" x14ac:dyDescent="0.2">
      <c r="A80" s="59">
        <v>61</v>
      </c>
      <c r="B80" s="6" t="s">
        <v>87</v>
      </c>
      <c r="C80" s="12" t="s">
        <v>14</v>
      </c>
      <c r="D80" s="34">
        <v>289</v>
      </c>
      <c r="E80" s="35">
        <v>206</v>
      </c>
      <c r="F80" s="23">
        <f t="shared" si="8"/>
        <v>199.82</v>
      </c>
      <c r="G80" s="24">
        <f t="shared" si="8"/>
        <v>195.7</v>
      </c>
      <c r="H80" s="25">
        <f t="shared" si="8"/>
        <v>193.64</v>
      </c>
    </row>
    <row r="81" spans="1:8" x14ac:dyDescent="0.2">
      <c r="A81" s="59">
        <v>62</v>
      </c>
      <c r="B81" s="6" t="s">
        <v>89</v>
      </c>
      <c r="C81" s="12" t="s">
        <v>14</v>
      </c>
      <c r="D81" s="34">
        <v>157</v>
      </c>
      <c r="E81" s="35">
        <v>105</v>
      </c>
      <c r="F81" s="23">
        <f t="shared" si="8"/>
        <v>101.85</v>
      </c>
      <c r="G81" s="24">
        <f t="shared" si="8"/>
        <v>99.75</v>
      </c>
      <c r="H81" s="25">
        <f t="shared" si="8"/>
        <v>98.699999999999989</v>
      </c>
    </row>
    <row r="82" spans="1:8" x14ac:dyDescent="0.2">
      <c r="A82" s="59">
        <v>63</v>
      </c>
      <c r="B82" s="6" t="s">
        <v>91</v>
      </c>
      <c r="C82" s="12" t="s">
        <v>14</v>
      </c>
      <c r="D82" s="34">
        <v>229</v>
      </c>
      <c r="E82" s="35">
        <v>164</v>
      </c>
      <c r="F82" s="23">
        <f t="shared" si="8"/>
        <v>159.07999999999998</v>
      </c>
      <c r="G82" s="24">
        <f t="shared" si="8"/>
        <v>155.79999999999998</v>
      </c>
      <c r="H82" s="25">
        <f t="shared" si="8"/>
        <v>154.16</v>
      </c>
    </row>
    <row r="83" spans="1:8" x14ac:dyDescent="0.2">
      <c r="A83" s="59">
        <v>64</v>
      </c>
      <c r="B83" s="6" t="s">
        <v>90</v>
      </c>
      <c r="C83" s="12" t="s">
        <v>14</v>
      </c>
      <c r="D83" s="34">
        <v>177</v>
      </c>
      <c r="E83" s="35">
        <v>127</v>
      </c>
      <c r="F83" s="23">
        <f t="shared" ref="F83:H84" si="9">$E83*(1-F$1)</f>
        <v>123.19</v>
      </c>
      <c r="G83" s="24">
        <f t="shared" si="9"/>
        <v>120.64999999999999</v>
      </c>
      <c r="H83" s="25">
        <f t="shared" si="9"/>
        <v>119.38</v>
      </c>
    </row>
    <row r="84" spans="1:8" x14ac:dyDescent="0.2">
      <c r="A84" s="59">
        <v>65</v>
      </c>
      <c r="B84" s="6" t="s">
        <v>88</v>
      </c>
      <c r="C84" s="12" t="s">
        <v>14</v>
      </c>
      <c r="D84" s="34">
        <v>226</v>
      </c>
      <c r="E84" s="35">
        <v>151</v>
      </c>
      <c r="F84" s="23">
        <f t="shared" si="9"/>
        <v>146.47</v>
      </c>
      <c r="G84" s="24">
        <f t="shared" si="9"/>
        <v>143.44999999999999</v>
      </c>
      <c r="H84" s="25">
        <f t="shared" si="9"/>
        <v>141.94</v>
      </c>
    </row>
    <row r="85" spans="1:8" x14ac:dyDescent="0.2">
      <c r="A85" s="59">
        <v>66</v>
      </c>
      <c r="B85" s="6" t="s">
        <v>92</v>
      </c>
      <c r="C85" s="12" t="s">
        <v>14</v>
      </c>
      <c r="D85" s="34">
        <v>211</v>
      </c>
      <c r="E85" s="35">
        <v>141</v>
      </c>
      <c r="F85" s="23">
        <f t="shared" si="8"/>
        <v>136.77000000000001</v>
      </c>
      <c r="G85" s="24">
        <f t="shared" si="8"/>
        <v>133.94999999999999</v>
      </c>
      <c r="H85" s="25">
        <f t="shared" si="8"/>
        <v>132.54</v>
      </c>
    </row>
    <row r="86" spans="1:8" x14ac:dyDescent="0.2">
      <c r="A86" s="59">
        <v>67</v>
      </c>
      <c r="B86" s="6" t="s">
        <v>93</v>
      </c>
      <c r="C86" s="12" t="s">
        <v>14</v>
      </c>
      <c r="D86" s="34">
        <v>271</v>
      </c>
      <c r="E86" s="35">
        <v>181</v>
      </c>
      <c r="F86" s="23">
        <f t="shared" si="8"/>
        <v>175.57</v>
      </c>
      <c r="G86" s="24">
        <f t="shared" si="8"/>
        <v>171.95</v>
      </c>
      <c r="H86" s="25">
        <f t="shared" si="8"/>
        <v>170.14</v>
      </c>
    </row>
    <row r="87" spans="1:8" x14ac:dyDescent="0.2">
      <c r="A87" s="59">
        <v>68</v>
      </c>
      <c r="B87" s="6" t="s">
        <v>94</v>
      </c>
      <c r="C87" s="12" t="s">
        <v>14</v>
      </c>
      <c r="D87" s="34">
        <v>262</v>
      </c>
      <c r="E87" s="35">
        <v>181</v>
      </c>
      <c r="F87" s="23">
        <f t="shared" si="8"/>
        <v>175.57</v>
      </c>
      <c r="G87" s="24">
        <f t="shared" si="8"/>
        <v>171.95</v>
      </c>
      <c r="H87" s="25">
        <f t="shared" si="8"/>
        <v>170.14</v>
      </c>
    </row>
    <row r="88" spans="1:8" x14ac:dyDescent="0.2">
      <c r="A88" s="59">
        <v>69</v>
      </c>
      <c r="B88" s="6" t="s">
        <v>228</v>
      </c>
      <c r="C88" s="12" t="s">
        <v>14</v>
      </c>
      <c r="D88" s="34">
        <v>262</v>
      </c>
      <c r="E88" s="35">
        <v>181</v>
      </c>
      <c r="F88" s="23">
        <f t="shared" si="8"/>
        <v>175.57</v>
      </c>
      <c r="G88" s="24">
        <f t="shared" si="8"/>
        <v>171.95</v>
      </c>
      <c r="H88" s="25">
        <f t="shared" si="8"/>
        <v>170.14</v>
      </c>
    </row>
    <row r="89" spans="1:8" x14ac:dyDescent="0.2">
      <c r="A89" s="59">
        <v>70</v>
      </c>
      <c r="B89" s="6" t="s">
        <v>95</v>
      </c>
      <c r="C89" s="12" t="s">
        <v>14</v>
      </c>
      <c r="D89" s="34">
        <v>268</v>
      </c>
      <c r="E89" s="35">
        <v>181</v>
      </c>
      <c r="F89" s="23">
        <f t="shared" si="8"/>
        <v>175.57</v>
      </c>
      <c r="G89" s="24">
        <f t="shared" si="8"/>
        <v>171.95</v>
      </c>
      <c r="H89" s="25">
        <f t="shared" si="8"/>
        <v>170.14</v>
      </c>
    </row>
    <row r="90" spans="1:8" x14ac:dyDescent="0.2">
      <c r="A90" s="59">
        <v>71</v>
      </c>
      <c r="B90" s="6" t="s">
        <v>96</v>
      </c>
      <c r="C90" s="12" t="s">
        <v>14</v>
      </c>
      <c r="D90" s="34">
        <v>277</v>
      </c>
      <c r="E90" s="35">
        <v>185</v>
      </c>
      <c r="F90" s="23">
        <f t="shared" si="8"/>
        <v>179.45</v>
      </c>
      <c r="G90" s="24">
        <f t="shared" si="8"/>
        <v>175.75</v>
      </c>
      <c r="H90" s="25">
        <f t="shared" si="8"/>
        <v>173.89999999999998</v>
      </c>
    </row>
    <row r="91" spans="1:8" x14ac:dyDescent="0.2">
      <c r="A91" s="60">
        <v>72</v>
      </c>
      <c r="B91" s="7" t="s">
        <v>97</v>
      </c>
      <c r="C91" s="13" t="s">
        <v>14</v>
      </c>
      <c r="D91" s="36">
        <v>284</v>
      </c>
      <c r="E91" s="37">
        <v>190</v>
      </c>
      <c r="F91" s="23">
        <f t="shared" si="8"/>
        <v>184.29999999999998</v>
      </c>
      <c r="G91" s="24">
        <f t="shared" si="8"/>
        <v>180.5</v>
      </c>
      <c r="H91" s="25">
        <f t="shared" si="8"/>
        <v>178.6</v>
      </c>
    </row>
    <row r="92" spans="1:8" x14ac:dyDescent="0.2">
      <c r="A92" s="20"/>
      <c r="B92" s="2" t="s">
        <v>227</v>
      </c>
      <c r="C92" s="14"/>
      <c r="D92" s="48"/>
      <c r="E92" s="48"/>
      <c r="F92" s="48"/>
      <c r="G92" s="48"/>
      <c r="H92" s="48"/>
    </row>
    <row r="93" spans="1:8" x14ac:dyDescent="0.2">
      <c r="A93" s="61">
        <v>100</v>
      </c>
      <c r="B93" s="8" t="s">
        <v>98</v>
      </c>
      <c r="C93" s="15" t="s">
        <v>188</v>
      </c>
      <c r="D93" s="21">
        <v>35.020000000000003</v>
      </c>
      <c r="E93" s="22">
        <v>29.18</v>
      </c>
      <c r="F93" s="23">
        <f t="shared" ref="F93:H100" si="10">$E93*(1-F$1)</f>
        <v>28.304600000000001</v>
      </c>
      <c r="G93" s="24">
        <f t="shared" si="10"/>
        <v>27.721</v>
      </c>
      <c r="H93" s="25">
        <f t="shared" si="10"/>
        <v>27.429199999999998</v>
      </c>
    </row>
    <row r="94" spans="1:8" x14ac:dyDescent="0.2">
      <c r="A94" s="59">
        <v>101</v>
      </c>
      <c r="B94" s="6" t="s">
        <v>99</v>
      </c>
      <c r="C94" s="12" t="s">
        <v>188</v>
      </c>
      <c r="D94" s="34">
        <v>34.200000000000003</v>
      </c>
      <c r="E94" s="35">
        <v>28.5</v>
      </c>
      <c r="F94" s="23">
        <f t="shared" si="10"/>
        <v>27.645</v>
      </c>
      <c r="G94" s="24">
        <f t="shared" si="10"/>
        <v>27.074999999999999</v>
      </c>
      <c r="H94" s="25">
        <f t="shared" si="10"/>
        <v>26.79</v>
      </c>
    </row>
    <row r="95" spans="1:8" x14ac:dyDescent="0.2">
      <c r="A95" s="59">
        <v>102</v>
      </c>
      <c r="B95" s="6" t="s">
        <v>100</v>
      </c>
      <c r="C95" s="12" t="s">
        <v>188</v>
      </c>
      <c r="D95" s="34">
        <v>94.6</v>
      </c>
      <c r="E95" s="35">
        <v>78.84</v>
      </c>
      <c r="F95" s="23">
        <f t="shared" si="10"/>
        <v>76.474800000000002</v>
      </c>
      <c r="G95" s="24">
        <f t="shared" si="10"/>
        <v>74.897999999999996</v>
      </c>
      <c r="H95" s="25">
        <f t="shared" si="10"/>
        <v>74.1096</v>
      </c>
    </row>
    <row r="96" spans="1:8" x14ac:dyDescent="0.2">
      <c r="A96" s="59">
        <v>103</v>
      </c>
      <c r="B96" s="6" t="s">
        <v>102</v>
      </c>
      <c r="C96" s="12" t="s">
        <v>188</v>
      </c>
      <c r="D96" s="34">
        <v>160.15</v>
      </c>
      <c r="E96" s="35">
        <v>133.46</v>
      </c>
      <c r="F96" s="23">
        <f t="shared" si="10"/>
        <v>129.4562</v>
      </c>
      <c r="G96" s="24">
        <f t="shared" si="10"/>
        <v>126.78700000000001</v>
      </c>
      <c r="H96" s="25">
        <f t="shared" si="10"/>
        <v>125.4524</v>
      </c>
    </row>
    <row r="97" spans="1:8" x14ac:dyDescent="0.2">
      <c r="A97" s="59">
        <v>104</v>
      </c>
      <c r="B97" s="6" t="s">
        <v>101</v>
      </c>
      <c r="C97" s="12" t="s">
        <v>188</v>
      </c>
      <c r="D97" s="34">
        <v>279.63</v>
      </c>
      <c r="E97" s="35">
        <v>233.02</v>
      </c>
      <c r="F97" s="23">
        <f t="shared" si="10"/>
        <v>226.02940000000001</v>
      </c>
      <c r="G97" s="24">
        <f t="shared" si="10"/>
        <v>221.369</v>
      </c>
      <c r="H97" s="25">
        <f t="shared" si="10"/>
        <v>219.03880000000001</v>
      </c>
    </row>
    <row r="98" spans="1:8" x14ac:dyDescent="0.2">
      <c r="A98" s="59">
        <v>105</v>
      </c>
      <c r="B98" s="6" t="s">
        <v>103</v>
      </c>
      <c r="C98" s="12" t="s">
        <v>188</v>
      </c>
      <c r="D98" s="34">
        <v>2.15</v>
      </c>
      <c r="E98" s="35">
        <v>1.79</v>
      </c>
      <c r="F98" s="23">
        <f t="shared" si="10"/>
        <v>1.7363</v>
      </c>
      <c r="G98" s="24">
        <f t="shared" si="10"/>
        <v>1.7004999999999999</v>
      </c>
      <c r="H98" s="25">
        <f t="shared" si="10"/>
        <v>1.6825999999999999</v>
      </c>
    </row>
    <row r="99" spans="1:8" x14ac:dyDescent="0.2">
      <c r="A99" s="59">
        <v>106</v>
      </c>
      <c r="B99" s="6" t="s">
        <v>104</v>
      </c>
      <c r="C99" s="12" t="s">
        <v>188</v>
      </c>
      <c r="D99" s="34">
        <v>5.85</v>
      </c>
      <c r="E99" s="35">
        <v>4.88</v>
      </c>
      <c r="F99" s="23">
        <f t="shared" si="10"/>
        <v>4.7336</v>
      </c>
      <c r="G99" s="24">
        <f t="shared" si="10"/>
        <v>4.6360000000000001</v>
      </c>
      <c r="H99" s="25">
        <f t="shared" si="10"/>
        <v>4.5871999999999993</v>
      </c>
    </row>
    <row r="100" spans="1:8" x14ac:dyDescent="0.2">
      <c r="A100" s="60">
        <v>107</v>
      </c>
      <c r="B100" s="7" t="s">
        <v>105</v>
      </c>
      <c r="C100" s="13" t="s">
        <v>188</v>
      </c>
      <c r="D100" s="36">
        <v>5.85</v>
      </c>
      <c r="E100" s="37">
        <v>4.88</v>
      </c>
      <c r="F100" s="23">
        <f t="shared" si="10"/>
        <v>4.7336</v>
      </c>
      <c r="G100" s="24">
        <f t="shared" si="10"/>
        <v>4.6360000000000001</v>
      </c>
      <c r="H100" s="25">
        <f t="shared" si="10"/>
        <v>4.5871999999999993</v>
      </c>
    </row>
    <row r="101" spans="1:8" x14ac:dyDescent="0.2">
      <c r="A101" s="20"/>
      <c r="B101" s="2" t="s">
        <v>106</v>
      </c>
      <c r="C101" s="14"/>
      <c r="D101" s="48"/>
      <c r="E101" s="48"/>
      <c r="F101" s="48"/>
      <c r="G101" s="48"/>
      <c r="H101" s="48"/>
    </row>
    <row r="102" spans="1:8" ht="15" customHeight="1" x14ac:dyDescent="0.2">
      <c r="A102" s="277" t="s">
        <v>224</v>
      </c>
      <c r="B102" s="278"/>
      <c r="C102" s="278"/>
      <c r="D102" s="278"/>
      <c r="E102" s="278"/>
      <c r="F102" s="278"/>
      <c r="G102" s="278"/>
      <c r="H102" s="279"/>
    </row>
    <row r="103" spans="1:8" x14ac:dyDescent="0.2">
      <c r="B103" s="6" t="s">
        <v>215</v>
      </c>
      <c r="C103" s="12" t="s">
        <v>216</v>
      </c>
      <c r="D103" s="34">
        <v>8.75</v>
      </c>
      <c r="E103" s="35">
        <v>7.5</v>
      </c>
      <c r="F103" s="23">
        <f t="shared" ref="F103:H110" si="11">$E103*(1-F$1)</f>
        <v>7.2749999999999995</v>
      </c>
      <c r="G103" s="24">
        <f t="shared" si="11"/>
        <v>7.125</v>
      </c>
      <c r="H103" s="25">
        <f t="shared" si="11"/>
        <v>7.05</v>
      </c>
    </row>
    <row r="104" spans="1:8" x14ac:dyDescent="0.2">
      <c r="B104" s="6" t="s">
        <v>217</v>
      </c>
      <c r="C104" s="12" t="s">
        <v>223</v>
      </c>
      <c r="D104" s="34">
        <v>13.25</v>
      </c>
      <c r="E104" s="35">
        <v>11.25</v>
      </c>
      <c r="F104" s="23">
        <f t="shared" si="11"/>
        <v>10.9125</v>
      </c>
      <c r="G104" s="24">
        <f t="shared" si="11"/>
        <v>10.6875</v>
      </c>
      <c r="H104" s="25">
        <f t="shared" si="11"/>
        <v>10.574999999999999</v>
      </c>
    </row>
    <row r="105" spans="1:8" x14ac:dyDescent="0.2">
      <c r="B105" s="6" t="s">
        <v>218</v>
      </c>
      <c r="C105" s="12" t="s">
        <v>216</v>
      </c>
      <c r="D105" s="34">
        <v>9</v>
      </c>
      <c r="E105" s="35">
        <v>7.75</v>
      </c>
      <c r="F105" s="23">
        <f t="shared" si="11"/>
        <v>7.5175000000000001</v>
      </c>
      <c r="G105" s="24">
        <f t="shared" si="11"/>
        <v>7.3624999999999998</v>
      </c>
      <c r="H105" s="25">
        <f t="shared" si="11"/>
        <v>7.2849999999999993</v>
      </c>
    </row>
    <row r="106" spans="1:8" x14ac:dyDescent="0.2">
      <c r="B106" s="6" t="s">
        <v>219</v>
      </c>
      <c r="C106" s="12" t="s">
        <v>223</v>
      </c>
      <c r="D106" s="34">
        <v>13.75</v>
      </c>
      <c r="E106" s="35">
        <v>11.75</v>
      </c>
      <c r="F106" s="23">
        <f t="shared" si="11"/>
        <v>11.397499999999999</v>
      </c>
      <c r="G106" s="24">
        <f t="shared" si="11"/>
        <v>11.1625</v>
      </c>
      <c r="H106" s="25">
        <f t="shared" si="11"/>
        <v>11.045</v>
      </c>
    </row>
    <row r="107" spans="1:8" x14ac:dyDescent="0.2">
      <c r="B107" s="6" t="s">
        <v>220</v>
      </c>
      <c r="C107" s="12" t="s">
        <v>216</v>
      </c>
      <c r="D107" s="34">
        <v>8.5</v>
      </c>
      <c r="E107" s="35">
        <v>7.25</v>
      </c>
      <c r="F107" s="23">
        <f t="shared" si="11"/>
        <v>7.0324999999999998</v>
      </c>
      <c r="G107" s="24">
        <f t="shared" si="11"/>
        <v>6.8874999999999993</v>
      </c>
      <c r="H107" s="25">
        <f t="shared" si="11"/>
        <v>6.8149999999999995</v>
      </c>
    </row>
    <row r="108" spans="1:8" x14ac:dyDescent="0.2">
      <c r="B108" s="6" t="s">
        <v>221</v>
      </c>
      <c r="C108" s="12" t="s">
        <v>223</v>
      </c>
      <c r="D108" s="34">
        <v>13</v>
      </c>
      <c r="E108" s="35">
        <v>11</v>
      </c>
      <c r="F108" s="23">
        <f t="shared" si="11"/>
        <v>10.67</v>
      </c>
      <c r="G108" s="24">
        <f t="shared" si="11"/>
        <v>10.45</v>
      </c>
      <c r="H108" s="25">
        <f t="shared" si="11"/>
        <v>10.34</v>
      </c>
    </row>
    <row r="109" spans="1:8" x14ac:dyDescent="0.2">
      <c r="B109" s="6" t="s">
        <v>213</v>
      </c>
      <c r="C109" s="12" t="s">
        <v>222</v>
      </c>
      <c r="D109" s="34">
        <v>196</v>
      </c>
      <c r="E109" s="35">
        <v>140</v>
      </c>
      <c r="F109" s="23">
        <f t="shared" si="11"/>
        <v>135.79999999999998</v>
      </c>
      <c r="G109" s="24">
        <f t="shared" si="11"/>
        <v>133</v>
      </c>
      <c r="H109" s="25">
        <f t="shared" si="11"/>
        <v>131.6</v>
      </c>
    </row>
    <row r="110" spans="1:8" x14ac:dyDescent="0.2">
      <c r="B110" s="6" t="s">
        <v>214</v>
      </c>
      <c r="C110" s="12" t="s">
        <v>222</v>
      </c>
      <c r="D110" s="34">
        <v>14</v>
      </c>
      <c r="E110" s="35">
        <v>10</v>
      </c>
      <c r="F110" s="23">
        <f t="shared" si="11"/>
        <v>9.6999999999999993</v>
      </c>
      <c r="G110" s="24">
        <f t="shared" si="11"/>
        <v>9.5</v>
      </c>
      <c r="H110" s="25">
        <f t="shared" si="11"/>
        <v>9.3999999999999986</v>
      </c>
    </row>
    <row r="111" spans="1:8" ht="15" customHeight="1" x14ac:dyDescent="0.2">
      <c r="A111" s="277" t="s">
        <v>225</v>
      </c>
      <c r="B111" s="278"/>
      <c r="C111" s="278"/>
      <c r="D111" s="278"/>
      <c r="E111" s="278"/>
      <c r="F111" s="278"/>
      <c r="G111" s="278"/>
      <c r="H111" s="279"/>
    </row>
    <row r="112" spans="1:8" x14ac:dyDescent="0.2">
      <c r="B112" s="7" t="s">
        <v>190</v>
      </c>
      <c r="C112" s="17"/>
      <c r="D112" s="43"/>
      <c r="E112" s="44"/>
      <c r="F112" s="40"/>
      <c r="G112" s="41"/>
      <c r="H112" s="42"/>
    </row>
    <row r="113" spans="1:8" x14ac:dyDescent="0.2">
      <c r="A113" s="60"/>
      <c r="B113" s="7" t="s">
        <v>191</v>
      </c>
      <c r="C113" s="18"/>
      <c r="D113" s="38"/>
      <c r="E113" s="39"/>
      <c r="F113" s="40"/>
      <c r="G113" s="41"/>
      <c r="H113" s="42"/>
    </row>
    <row r="114" spans="1:8" x14ac:dyDescent="0.2">
      <c r="A114" s="20"/>
      <c r="B114" s="2" t="s">
        <v>107</v>
      </c>
      <c r="C114" s="14"/>
      <c r="D114" s="48"/>
      <c r="E114" s="48"/>
      <c r="F114" s="48"/>
      <c r="G114" s="48"/>
      <c r="H114" s="48"/>
    </row>
    <row r="115" spans="1:8" ht="15" customHeight="1" x14ac:dyDescent="0.2">
      <c r="A115" s="277" t="s">
        <v>226</v>
      </c>
      <c r="B115" s="278"/>
      <c r="C115" s="278"/>
      <c r="D115" s="278"/>
      <c r="E115" s="278"/>
      <c r="F115" s="278"/>
      <c r="G115" s="278"/>
      <c r="H115" s="279"/>
    </row>
    <row r="116" spans="1:8" x14ac:dyDescent="0.2">
      <c r="A116" s="60"/>
      <c r="B116" s="7" t="s">
        <v>108</v>
      </c>
      <c r="C116" s="19"/>
      <c r="D116" s="43"/>
      <c r="E116" s="44"/>
      <c r="F116" s="40"/>
      <c r="G116" s="41"/>
      <c r="H116" s="42"/>
    </row>
    <row r="117" spans="1:8" x14ac:dyDescent="0.2">
      <c r="A117" s="20"/>
      <c r="B117" s="2" t="s">
        <v>109</v>
      </c>
      <c r="C117" s="14"/>
      <c r="D117" s="48"/>
      <c r="E117" s="48"/>
      <c r="F117" s="48"/>
      <c r="G117" s="48"/>
      <c r="H117" s="48"/>
    </row>
    <row r="118" spans="1:8" x14ac:dyDescent="0.2">
      <c r="A118" s="61"/>
      <c r="B118" s="8" t="s">
        <v>110</v>
      </c>
      <c r="C118" s="15" t="s">
        <v>14</v>
      </c>
      <c r="D118" s="21">
        <v>54</v>
      </c>
      <c r="E118" s="22">
        <v>36</v>
      </c>
      <c r="F118" s="23">
        <f t="shared" ref="F118:H121" si="12">$E118*(1-F$1)</f>
        <v>34.92</v>
      </c>
      <c r="G118" s="24">
        <f t="shared" si="12"/>
        <v>34.199999999999996</v>
      </c>
      <c r="H118" s="25">
        <f t="shared" si="12"/>
        <v>33.839999999999996</v>
      </c>
    </row>
    <row r="119" spans="1:8" x14ac:dyDescent="0.2">
      <c r="B119" s="6" t="s">
        <v>111</v>
      </c>
      <c r="C119" s="12" t="s">
        <v>14</v>
      </c>
      <c r="D119" s="34">
        <v>66</v>
      </c>
      <c r="E119" s="35">
        <v>48</v>
      </c>
      <c r="F119" s="23">
        <f t="shared" si="12"/>
        <v>46.56</v>
      </c>
      <c r="G119" s="24">
        <f t="shared" si="12"/>
        <v>45.599999999999994</v>
      </c>
      <c r="H119" s="25">
        <f t="shared" si="12"/>
        <v>45.12</v>
      </c>
    </row>
    <row r="120" spans="1:8" x14ac:dyDescent="0.2">
      <c r="B120" s="6" t="s">
        <v>112</v>
      </c>
      <c r="C120" s="12" t="s">
        <v>200</v>
      </c>
      <c r="D120" s="34">
        <v>65</v>
      </c>
      <c r="E120" s="35">
        <v>50</v>
      </c>
      <c r="F120" s="23">
        <f t="shared" si="12"/>
        <v>48.5</v>
      </c>
      <c r="G120" s="24">
        <f t="shared" si="12"/>
        <v>47.5</v>
      </c>
      <c r="H120" s="25">
        <f t="shared" si="12"/>
        <v>47</v>
      </c>
    </row>
    <row r="121" spans="1:8" x14ac:dyDescent="0.2">
      <c r="A121" s="60"/>
      <c r="B121" s="7" t="s">
        <v>113</v>
      </c>
      <c r="C121" s="13" t="s">
        <v>14</v>
      </c>
      <c r="D121" s="36">
        <v>48</v>
      </c>
      <c r="E121" s="37">
        <v>30</v>
      </c>
      <c r="F121" s="23">
        <f t="shared" si="12"/>
        <v>29.099999999999998</v>
      </c>
      <c r="G121" s="24">
        <f t="shared" si="12"/>
        <v>28.5</v>
      </c>
      <c r="H121" s="25">
        <f t="shared" si="12"/>
        <v>28.2</v>
      </c>
    </row>
    <row r="122" spans="1:8" x14ac:dyDescent="0.2">
      <c r="A122" s="20"/>
      <c r="B122" s="2" t="s">
        <v>114</v>
      </c>
      <c r="C122" s="20"/>
      <c r="D122" s="49"/>
      <c r="E122" s="50"/>
      <c r="F122" s="50"/>
      <c r="G122" s="50"/>
      <c r="H122" s="50"/>
    </row>
    <row r="123" spans="1:8" x14ac:dyDescent="0.2">
      <c r="A123" s="61"/>
      <c r="B123" s="8" t="s">
        <v>115</v>
      </c>
      <c r="C123" s="15" t="s">
        <v>192</v>
      </c>
      <c r="D123" s="21">
        <v>46</v>
      </c>
      <c r="E123" s="22">
        <v>31</v>
      </c>
      <c r="F123" s="23">
        <f t="shared" ref="F123:H130" si="13">$E123*(1-F$1)</f>
        <v>30.07</v>
      </c>
      <c r="G123" s="24">
        <f t="shared" si="13"/>
        <v>29.45</v>
      </c>
      <c r="H123" s="25">
        <f t="shared" si="13"/>
        <v>29.139999999999997</v>
      </c>
    </row>
    <row r="124" spans="1:8" x14ac:dyDescent="0.2">
      <c r="B124" s="6" t="s">
        <v>116</v>
      </c>
      <c r="C124" s="12" t="s">
        <v>192</v>
      </c>
      <c r="D124" s="34">
        <v>60</v>
      </c>
      <c r="E124" s="35">
        <v>43</v>
      </c>
      <c r="F124" s="23">
        <f t="shared" si="13"/>
        <v>41.71</v>
      </c>
      <c r="G124" s="24">
        <f t="shared" si="13"/>
        <v>40.85</v>
      </c>
      <c r="H124" s="25">
        <f t="shared" si="13"/>
        <v>40.419999999999995</v>
      </c>
    </row>
    <row r="125" spans="1:8" x14ac:dyDescent="0.2">
      <c r="B125" s="6" t="s">
        <v>117</v>
      </c>
      <c r="C125" s="12" t="s">
        <v>192</v>
      </c>
      <c r="D125" s="34">
        <v>53</v>
      </c>
      <c r="E125" s="35">
        <v>37</v>
      </c>
      <c r="F125" s="23">
        <f t="shared" si="13"/>
        <v>35.89</v>
      </c>
      <c r="G125" s="24">
        <f t="shared" si="13"/>
        <v>35.15</v>
      </c>
      <c r="H125" s="25">
        <f t="shared" si="13"/>
        <v>34.78</v>
      </c>
    </row>
    <row r="126" spans="1:8" x14ac:dyDescent="0.2">
      <c r="B126" s="6" t="s">
        <v>118</v>
      </c>
      <c r="C126" s="12" t="s">
        <v>192</v>
      </c>
      <c r="D126" s="34">
        <v>53</v>
      </c>
      <c r="E126" s="35">
        <v>37</v>
      </c>
      <c r="F126" s="23">
        <f t="shared" si="13"/>
        <v>35.89</v>
      </c>
      <c r="G126" s="24">
        <f t="shared" si="13"/>
        <v>35.15</v>
      </c>
      <c r="H126" s="25">
        <f t="shared" si="13"/>
        <v>34.78</v>
      </c>
    </row>
    <row r="127" spans="1:8" x14ac:dyDescent="0.2">
      <c r="B127" s="6" t="s">
        <v>119</v>
      </c>
      <c r="C127" s="12" t="s">
        <v>192</v>
      </c>
      <c r="D127" s="34">
        <v>53</v>
      </c>
      <c r="E127" s="35">
        <v>37</v>
      </c>
      <c r="F127" s="23">
        <f t="shared" si="13"/>
        <v>35.89</v>
      </c>
      <c r="G127" s="24">
        <f t="shared" si="13"/>
        <v>35.15</v>
      </c>
      <c r="H127" s="25">
        <f t="shared" si="13"/>
        <v>34.78</v>
      </c>
    </row>
    <row r="128" spans="1:8" x14ac:dyDescent="0.2">
      <c r="B128" s="6" t="s">
        <v>212</v>
      </c>
      <c r="C128" s="12" t="s">
        <v>192</v>
      </c>
      <c r="D128" s="34">
        <v>69</v>
      </c>
      <c r="E128" s="35">
        <v>50</v>
      </c>
      <c r="F128" s="23">
        <f t="shared" si="13"/>
        <v>48.5</v>
      </c>
      <c r="G128" s="24">
        <f t="shared" si="13"/>
        <v>47.5</v>
      </c>
      <c r="H128" s="25">
        <f t="shared" si="13"/>
        <v>47</v>
      </c>
    </row>
    <row r="129" spans="1:8" x14ac:dyDescent="0.2">
      <c r="B129" s="6" t="s">
        <v>120</v>
      </c>
      <c r="C129" s="12" t="s">
        <v>192</v>
      </c>
      <c r="D129" s="34">
        <v>74</v>
      </c>
      <c r="E129" s="35">
        <v>53</v>
      </c>
      <c r="F129" s="23">
        <f t="shared" si="13"/>
        <v>51.41</v>
      </c>
      <c r="G129" s="24">
        <f t="shared" si="13"/>
        <v>50.349999999999994</v>
      </c>
      <c r="H129" s="25">
        <f t="shared" si="13"/>
        <v>49.82</v>
      </c>
    </row>
    <row r="130" spans="1:8" x14ac:dyDescent="0.2">
      <c r="A130" s="60"/>
      <c r="B130" s="7" t="s">
        <v>121</v>
      </c>
      <c r="C130" s="13" t="s">
        <v>192</v>
      </c>
      <c r="D130" s="36">
        <v>75</v>
      </c>
      <c r="E130" s="37">
        <v>54</v>
      </c>
      <c r="F130" s="23">
        <f t="shared" si="13"/>
        <v>52.379999999999995</v>
      </c>
      <c r="G130" s="24">
        <f t="shared" si="13"/>
        <v>51.3</v>
      </c>
      <c r="H130" s="25">
        <f t="shared" si="13"/>
        <v>50.76</v>
      </c>
    </row>
    <row r="131" spans="1:8" x14ac:dyDescent="0.2">
      <c r="A131" s="20"/>
      <c r="B131" s="2" t="s">
        <v>122</v>
      </c>
      <c r="C131" s="14"/>
      <c r="D131" s="48"/>
      <c r="E131" s="48"/>
      <c r="F131" s="48"/>
      <c r="G131" s="48"/>
      <c r="H131" s="48"/>
    </row>
    <row r="132" spans="1:8" x14ac:dyDescent="0.2">
      <c r="A132" s="61"/>
      <c r="B132" s="8" t="s">
        <v>123</v>
      </c>
      <c r="C132" s="15" t="s">
        <v>188</v>
      </c>
      <c r="D132" s="21">
        <v>52</v>
      </c>
      <c r="E132" s="22">
        <v>40</v>
      </c>
      <c r="F132" s="23">
        <f t="shared" ref="F132:H145" si="14">$E132*(1-F$1)</f>
        <v>38.799999999999997</v>
      </c>
      <c r="G132" s="24">
        <f t="shared" si="14"/>
        <v>38</v>
      </c>
      <c r="H132" s="25">
        <f t="shared" si="14"/>
        <v>37.599999999999994</v>
      </c>
    </row>
    <row r="133" spans="1:8" x14ac:dyDescent="0.2">
      <c r="B133" s="6" t="s">
        <v>124</v>
      </c>
      <c r="C133" s="12" t="s">
        <v>188</v>
      </c>
      <c r="D133" s="34">
        <v>400</v>
      </c>
      <c r="E133" s="35">
        <v>295</v>
      </c>
      <c r="F133" s="23">
        <f t="shared" si="14"/>
        <v>286.14999999999998</v>
      </c>
      <c r="G133" s="24">
        <f t="shared" si="14"/>
        <v>280.25</v>
      </c>
      <c r="H133" s="25">
        <f t="shared" si="14"/>
        <v>277.3</v>
      </c>
    </row>
    <row r="134" spans="1:8" x14ac:dyDescent="0.2">
      <c r="B134" s="6" t="s">
        <v>125</v>
      </c>
      <c r="C134" s="12" t="s">
        <v>188</v>
      </c>
      <c r="D134" s="34">
        <v>32</v>
      </c>
      <c r="E134" s="35">
        <v>24</v>
      </c>
      <c r="F134" s="23">
        <f t="shared" si="14"/>
        <v>23.28</v>
      </c>
      <c r="G134" s="24">
        <f t="shared" si="14"/>
        <v>22.799999999999997</v>
      </c>
      <c r="H134" s="25">
        <f t="shared" si="14"/>
        <v>22.56</v>
      </c>
    </row>
    <row r="135" spans="1:8" x14ac:dyDescent="0.2">
      <c r="B135" s="6" t="s">
        <v>126</v>
      </c>
      <c r="C135" s="12" t="s">
        <v>193</v>
      </c>
      <c r="D135" s="34">
        <v>33</v>
      </c>
      <c r="E135" s="35">
        <v>25</v>
      </c>
      <c r="F135" s="23">
        <f t="shared" si="14"/>
        <v>24.25</v>
      </c>
      <c r="G135" s="24">
        <f t="shared" si="14"/>
        <v>23.75</v>
      </c>
      <c r="H135" s="25">
        <f t="shared" si="14"/>
        <v>23.5</v>
      </c>
    </row>
    <row r="136" spans="1:8" x14ac:dyDescent="0.2">
      <c r="B136" s="6" t="s">
        <v>127</v>
      </c>
      <c r="C136" s="12" t="s">
        <v>193</v>
      </c>
      <c r="D136" s="34">
        <v>163</v>
      </c>
      <c r="E136" s="35">
        <v>130</v>
      </c>
      <c r="F136" s="23">
        <f t="shared" si="14"/>
        <v>126.1</v>
      </c>
      <c r="G136" s="24">
        <f t="shared" si="14"/>
        <v>123.5</v>
      </c>
      <c r="H136" s="25">
        <f t="shared" si="14"/>
        <v>122.19999999999999</v>
      </c>
    </row>
    <row r="137" spans="1:8" x14ac:dyDescent="0.2">
      <c r="B137" s="6" t="s">
        <v>128</v>
      </c>
      <c r="C137" s="12" t="s">
        <v>193</v>
      </c>
      <c r="D137" s="34">
        <v>217</v>
      </c>
      <c r="E137" s="35">
        <v>173</v>
      </c>
      <c r="F137" s="23">
        <f t="shared" si="14"/>
        <v>167.81</v>
      </c>
      <c r="G137" s="24">
        <f t="shared" si="14"/>
        <v>164.35</v>
      </c>
      <c r="H137" s="25">
        <f t="shared" si="14"/>
        <v>162.62</v>
      </c>
    </row>
    <row r="138" spans="1:8" x14ac:dyDescent="0.2">
      <c r="B138" s="6" t="s">
        <v>129</v>
      </c>
      <c r="C138" s="12" t="s">
        <v>193</v>
      </c>
      <c r="D138" s="34">
        <v>193</v>
      </c>
      <c r="E138" s="35">
        <v>154</v>
      </c>
      <c r="F138" s="23">
        <f t="shared" si="14"/>
        <v>149.38</v>
      </c>
      <c r="G138" s="24">
        <f t="shared" si="14"/>
        <v>146.29999999999998</v>
      </c>
      <c r="H138" s="25">
        <f t="shared" si="14"/>
        <v>144.76</v>
      </c>
    </row>
    <row r="139" spans="1:8" x14ac:dyDescent="0.2">
      <c r="B139" s="6" t="s">
        <v>130</v>
      </c>
      <c r="C139" s="12" t="s">
        <v>193</v>
      </c>
      <c r="D139" s="34">
        <v>273</v>
      </c>
      <c r="E139" s="35">
        <v>218</v>
      </c>
      <c r="F139" s="23">
        <f t="shared" si="14"/>
        <v>211.46</v>
      </c>
      <c r="G139" s="24">
        <f t="shared" si="14"/>
        <v>207.1</v>
      </c>
      <c r="H139" s="25">
        <f t="shared" si="14"/>
        <v>204.92</v>
      </c>
    </row>
    <row r="140" spans="1:8" x14ac:dyDescent="0.2">
      <c r="B140" s="6" t="s">
        <v>131</v>
      </c>
      <c r="C140" s="12" t="s">
        <v>193</v>
      </c>
      <c r="D140" s="34">
        <v>151</v>
      </c>
      <c r="E140" s="35">
        <v>100</v>
      </c>
      <c r="F140" s="23">
        <f t="shared" si="14"/>
        <v>97</v>
      </c>
      <c r="G140" s="24">
        <f t="shared" si="14"/>
        <v>95</v>
      </c>
      <c r="H140" s="25">
        <f t="shared" si="14"/>
        <v>94</v>
      </c>
    </row>
    <row r="141" spans="1:8" x14ac:dyDescent="0.2">
      <c r="B141" s="6" t="s">
        <v>132</v>
      </c>
      <c r="C141" s="12" t="s">
        <v>193</v>
      </c>
      <c r="D141" s="34">
        <v>38</v>
      </c>
      <c r="E141" s="35">
        <v>25</v>
      </c>
      <c r="F141" s="23">
        <f t="shared" si="14"/>
        <v>24.25</v>
      </c>
      <c r="G141" s="24">
        <f t="shared" si="14"/>
        <v>23.75</v>
      </c>
      <c r="H141" s="25">
        <f t="shared" si="14"/>
        <v>23.5</v>
      </c>
    </row>
    <row r="142" spans="1:8" x14ac:dyDescent="0.2">
      <c r="B142" s="6" t="s">
        <v>133</v>
      </c>
      <c r="C142" s="12" t="s">
        <v>193</v>
      </c>
      <c r="D142" s="34">
        <v>455</v>
      </c>
      <c r="E142" s="35">
        <v>303</v>
      </c>
      <c r="F142" s="23">
        <f t="shared" si="14"/>
        <v>293.90999999999997</v>
      </c>
      <c r="G142" s="24">
        <f t="shared" si="14"/>
        <v>287.84999999999997</v>
      </c>
      <c r="H142" s="25">
        <f t="shared" si="14"/>
        <v>284.82</v>
      </c>
    </row>
    <row r="143" spans="1:8" x14ac:dyDescent="0.2">
      <c r="B143" s="6" t="s">
        <v>134</v>
      </c>
      <c r="C143" s="12" t="s">
        <v>194</v>
      </c>
      <c r="D143" s="34">
        <v>79</v>
      </c>
      <c r="E143" s="35">
        <v>60</v>
      </c>
      <c r="F143" s="23">
        <f t="shared" si="14"/>
        <v>58.199999999999996</v>
      </c>
      <c r="G143" s="24">
        <f t="shared" si="14"/>
        <v>57</v>
      </c>
      <c r="H143" s="25">
        <f t="shared" si="14"/>
        <v>56.4</v>
      </c>
    </row>
    <row r="144" spans="1:8" x14ac:dyDescent="0.2">
      <c r="B144" s="6" t="s">
        <v>135</v>
      </c>
      <c r="C144" s="12" t="s">
        <v>195</v>
      </c>
      <c r="D144" s="34">
        <v>6</v>
      </c>
      <c r="E144" s="35">
        <v>5</v>
      </c>
      <c r="F144" s="23">
        <f t="shared" si="14"/>
        <v>4.8499999999999996</v>
      </c>
      <c r="G144" s="24">
        <f t="shared" si="14"/>
        <v>4.75</v>
      </c>
      <c r="H144" s="25">
        <f t="shared" si="14"/>
        <v>4.6999999999999993</v>
      </c>
    </row>
    <row r="145" spans="1:8" x14ac:dyDescent="0.2">
      <c r="A145" s="60"/>
      <c r="B145" s="69" t="s">
        <v>136</v>
      </c>
      <c r="C145" s="12" t="s">
        <v>194</v>
      </c>
      <c r="D145" s="34">
        <v>109</v>
      </c>
      <c r="E145" s="35">
        <v>87</v>
      </c>
      <c r="F145" s="23">
        <f t="shared" si="14"/>
        <v>84.39</v>
      </c>
      <c r="G145" s="24">
        <f t="shared" si="14"/>
        <v>82.649999999999991</v>
      </c>
      <c r="H145" s="25">
        <f t="shared" si="14"/>
        <v>81.78</v>
      </c>
    </row>
    <row r="146" spans="1:8" x14ac:dyDescent="0.2">
      <c r="A146" s="60"/>
      <c r="B146" s="69" t="s">
        <v>154</v>
      </c>
      <c r="C146" s="12" t="s">
        <v>188</v>
      </c>
      <c r="D146" s="34">
        <v>89</v>
      </c>
      <c r="E146" s="35">
        <v>71</v>
      </c>
      <c r="F146" s="23">
        <f>$E146*(1-F$1)</f>
        <v>68.87</v>
      </c>
      <c r="G146" s="24">
        <f>$E146*(1-G$1)</f>
        <v>67.45</v>
      </c>
      <c r="H146" s="25">
        <f>$E146*(1-H$1)</f>
        <v>66.739999999999995</v>
      </c>
    </row>
    <row r="147" spans="1:8" x14ac:dyDescent="0.2">
      <c r="A147" s="20"/>
      <c r="B147" s="2" t="s">
        <v>137</v>
      </c>
      <c r="C147" s="14"/>
      <c r="D147" s="48"/>
      <c r="E147" s="48"/>
      <c r="F147" s="48"/>
      <c r="G147" s="48"/>
      <c r="H147" s="48"/>
    </row>
    <row r="148" spans="1:8" x14ac:dyDescent="0.2">
      <c r="A148" s="61"/>
      <c r="B148" s="8" t="s">
        <v>138</v>
      </c>
      <c r="C148" s="15" t="s">
        <v>188</v>
      </c>
      <c r="D148" s="21">
        <v>27</v>
      </c>
      <c r="E148" s="22">
        <v>20</v>
      </c>
      <c r="F148" s="23">
        <f t="shared" ref="F148:H161" si="15">$E148*(1-F$1)</f>
        <v>19.399999999999999</v>
      </c>
      <c r="G148" s="24">
        <f t="shared" si="15"/>
        <v>19</v>
      </c>
      <c r="H148" s="25">
        <f t="shared" si="15"/>
        <v>18.799999999999997</v>
      </c>
    </row>
    <row r="149" spans="1:8" x14ac:dyDescent="0.2">
      <c r="B149" s="8" t="s">
        <v>208</v>
      </c>
      <c r="C149" s="15" t="s">
        <v>193</v>
      </c>
      <c r="D149" s="21">
        <v>328</v>
      </c>
      <c r="E149" s="22">
        <v>247</v>
      </c>
      <c r="F149" s="23">
        <f t="shared" si="15"/>
        <v>239.59</v>
      </c>
      <c r="G149" s="24">
        <f t="shared" si="15"/>
        <v>234.64999999999998</v>
      </c>
      <c r="H149" s="25">
        <f t="shared" si="15"/>
        <v>232.17999999999998</v>
      </c>
    </row>
    <row r="150" spans="1:8" x14ac:dyDescent="0.2">
      <c r="B150" s="6" t="s">
        <v>139</v>
      </c>
      <c r="C150" s="12" t="s">
        <v>188</v>
      </c>
      <c r="D150" s="34">
        <v>13</v>
      </c>
      <c r="E150" s="35">
        <v>10</v>
      </c>
      <c r="F150" s="23">
        <f t="shared" si="15"/>
        <v>9.6999999999999993</v>
      </c>
      <c r="G150" s="24">
        <f t="shared" si="15"/>
        <v>9.5</v>
      </c>
      <c r="H150" s="25">
        <f t="shared" si="15"/>
        <v>9.3999999999999986</v>
      </c>
    </row>
    <row r="151" spans="1:8" x14ac:dyDescent="0.2">
      <c r="B151" s="6" t="s">
        <v>140</v>
      </c>
      <c r="C151" s="12" t="s">
        <v>188</v>
      </c>
      <c r="D151" s="34">
        <v>18</v>
      </c>
      <c r="E151" s="35">
        <v>14</v>
      </c>
      <c r="F151" s="23">
        <f t="shared" si="15"/>
        <v>13.58</v>
      </c>
      <c r="G151" s="24">
        <f t="shared" si="15"/>
        <v>13.299999999999999</v>
      </c>
      <c r="H151" s="25">
        <f t="shared" si="15"/>
        <v>13.16</v>
      </c>
    </row>
    <row r="152" spans="1:8" x14ac:dyDescent="0.2">
      <c r="B152" s="6" t="s">
        <v>141</v>
      </c>
      <c r="C152" s="12" t="s">
        <v>194</v>
      </c>
      <c r="D152" s="34">
        <v>100</v>
      </c>
      <c r="E152" s="35">
        <v>69</v>
      </c>
      <c r="F152" s="23">
        <f t="shared" si="15"/>
        <v>66.929999999999993</v>
      </c>
      <c r="G152" s="24">
        <f t="shared" si="15"/>
        <v>65.55</v>
      </c>
      <c r="H152" s="25">
        <f t="shared" si="15"/>
        <v>64.86</v>
      </c>
    </row>
    <row r="153" spans="1:8" x14ac:dyDescent="0.2">
      <c r="B153" s="6" t="s">
        <v>142</v>
      </c>
      <c r="C153" s="12" t="s">
        <v>188</v>
      </c>
      <c r="D153" s="34">
        <v>73</v>
      </c>
      <c r="E153" s="35">
        <v>58</v>
      </c>
      <c r="F153" s="23">
        <f t="shared" si="15"/>
        <v>56.26</v>
      </c>
      <c r="G153" s="24">
        <f t="shared" si="15"/>
        <v>55.099999999999994</v>
      </c>
      <c r="H153" s="25">
        <f t="shared" si="15"/>
        <v>54.519999999999996</v>
      </c>
    </row>
    <row r="154" spans="1:8" x14ac:dyDescent="0.2">
      <c r="B154" s="6" t="s">
        <v>143</v>
      </c>
      <c r="C154" s="12" t="s">
        <v>188</v>
      </c>
      <c r="D154" s="34">
        <v>54</v>
      </c>
      <c r="E154" s="35">
        <v>42</v>
      </c>
      <c r="F154" s="23">
        <f t="shared" si="15"/>
        <v>40.74</v>
      </c>
      <c r="G154" s="24">
        <f t="shared" si="15"/>
        <v>39.9</v>
      </c>
      <c r="H154" s="25">
        <f t="shared" si="15"/>
        <v>39.479999999999997</v>
      </c>
    </row>
    <row r="155" spans="1:8" x14ac:dyDescent="0.2">
      <c r="B155" s="6" t="s">
        <v>144</v>
      </c>
      <c r="C155" s="12" t="s">
        <v>188</v>
      </c>
      <c r="D155" s="34">
        <v>19</v>
      </c>
      <c r="E155" s="35">
        <v>14</v>
      </c>
      <c r="F155" s="23">
        <f t="shared" si="15"/>
        <v>13.58</v>
      </c>
      <c r="G155" s="24">
        <f t="shared" si="15"/>
        <v>13.299999999999999</v>
      </c>
      <c r="H155" s="25">
        <f t="shared" si="15"/>
        <v>13.16</v>
      </c>
    </row>
    <row r="156" spans="1:8" x14ac:dyDescent="0.2">
      <c r="A156" s="61"/>
      <c r="B156" s="6" t="s">
        <v>147</v>
      </c>
      <c r="C156" s="12" t="s">
        <v>188</v>
      </c>
      <c r="D156" s="34">
        <v>12</v>
      </c>
      <c r="E156" s="35">
        <v>7</v>
      </c>
      <c r="F156" s="23">
        <f t="shared" si="15"/>
        <v>6.79</v>
      </c>
      <c r="G156" s="24">
        <f t="shared" si="15"/>
        <v>6.6499999999999995</v>
      </c>
      <c r="H156" s="25">
        <f t="shared" si="15"/>
        <v>6.58</v>
      </c>
    </row>
    <row r="157" spans="1:8" x14ac:dyDescent="0.2">
      <c r="B157" s="6" t="s">
        <v>148</v>
      </c>
      <c r="C157" s="12" t="s">
        <v>188</v>
      </c>
      <c r="D157" s="34">
        <v>19</v>
      </c>
      <c r="E157" s="35">
        <v>13</v>
      </c>
      <c r="F157" s="23">
        <f t="shared" si="15"/>
        <v>12.61</v>
      </c>
      <c r="G157" s="24">
        <f t="shared" si="15"/>
        <v>12.35</v>
      </c>
      <c r="H157" s="25">
        <f t="shared" si="15"/>
        <v>12.219999999999999</v>
      </c>
    </row>
    <row r="158" spans="1:8" x14ac:dyDescent="0.2">
      <c r="B158" s="6" t="s">
        <v>149</v>
      </c>
      <c r="C158" s="12" t="s">
        <v>188</v>
      </c>
      <c r="D158" s="34">
        <v>27</v>
      </c>
      <c r="E158" s="35">
        <v>18</v>
      </c>
      <c r="F158" s="23">
        <f t="shared" si="15"/>
        <v>17.46</v>
      </c>
      <c r="G158" s="24">
        <f t="shared" si="15"/>
        <v>17.099999999999998</v>
      </c>
      <c r="H158" s="25">
        <f t="shared" si="15"/>
        <v>16.919999999999998</v>
      </c>
    </row>
    <row r="159" spans="1:8" x14ac:dyDescent="0.2">
      <c r="B159" s="6" t="s">
        <v>145</v>
      </c>
      <c r="C159" s="12" t="s">
        <v>196</v>
      </c>
      <c r="D159" s="34">
        <v>63</v>
      </c>
      <c r="E159" s="35">
        <v>47</v>
      </c>
      <c r="F159" s="23">
        <f t="shared" si="15"/>
        <v>45.589999999999996</v>
      </c>
      <c r="G159" s="24">
        <f t="shared" si="15"/>
        <v>44.65</v>
      </c>
      <c r="H159" s="25">
        <f t="shared" si="15"/>
        <v>44.18</v>
      </c>
    </row>
    <row r="160" spans="1:8" x14ac:dyDescent="0.2">
      <c r="B160" s="6" t="s">
        <v>146</v>
      </c>
      <c r="C160" s="12" t="s">
        <v>196</v>
      </c>
      <c r="D160" s="34">
        <v>63</v>
      </c>
      <c r="E160" s="35">
        <v>47</v>
      </c>
      <c r="F160" s="23">
        <f t="shared" si="15"/>
        <v>45.589999999999996</v>
      </c>
      <c r="G160" s="24">
        <f t="shared" si="15"/>
        <v>44.65</v>
      </c>
      <c r="H160" s="25">
        <f t="shared" si="15"/>
        <v>44.18</v>
      </c>
    </row>
    <row r="161" spans="1:8" x14ac:dyDescent="0.2">
      <c r="B161" s="6" t="s">
        <v>150</v>
      </c>
      <c r="C161" s="12" t="s">
        <v>188</v>
      </c>
      <c r="D161" s="34">
        <v>172</v>
      </c>
      <c r="E161" s="35">
        <v>118</v>
      </c>
      <c r="F161" s="23">
        <f t="shared" si="15"/>
        <v>114.46</v>
      </c>
      <c r="G161" s="24">
        <f t="shared" si="15"/>
        <v>112.1</v>
      </c>
      <c r="H161" s="25">
        <f t="shared" si="15"/>
        <v>110.91999999999999</v>
      </c>
    </row>
    <row r="162" spans="1:8" x14ac:dyDescent="0.2">
      <c r="B162" s="6" t="s">
        <v>152</v>
      </c>
      <c r="C162" s="12" t="s">
        <v>188</v>
      </c>
      <c r="D162" s="34">
        <v>324</v>
      </c>
      <c r="E162" s="35">
        <v>233</v>
      </c>
      <c r="F162" s="23">
        <f t="shared" ref="F162:H168" si="16">$E162*(1-F$1)</f>
        <v>226.01</v>
      </c>
      <c r="G162" s="24">
        <f t="shared" si="16"/>
        <v>221.35</v>
      </c>
      <c r="H162" s="25">
        <f t="shared" si="16"/>
        <v>219.01999999999998</v>
      </c>
    </row>
    <row r="163" spans="1:8" x14ac:dyDescent="0.2">
      <c r="B163" s="6" t="s">
        <v>153</v>
      </c>
      <c r="C163" s="12" t="s">
        <v>188</v>
      </c>
      <c r="D163" s="34">
        <v>113</v>
      </c>
      <c r="E163" s="35">
        <v>78</v>
      </c>
      <c r="F163" s="23">
        <f t="shared" si="16"/>
        <v>75.66</v>
      </c>
      <c r="G163" s="24">
        <f t="shared" si="16"/>
        <v>74.099999999999994</v>
      </c>
      <c r="H163" s="25">
        <f t="shared" si="16"/>
        <v>73.319999999999993</v>
      </c>
    </row>
    <row r="164" spans="1:8" x14ac:dyDescent="0.2">
      <c r="B164" s="6" t="s">
        <v>151</v>
      </c>
      <c r="C164" s="12" t="s">
        <v>188</v>
      </c>
      <c r="D164" s="34">
        <v>238</v>
      </c>
      <c r="E164" s="35">
        <v>164</v>
      </c>
      <c r="F164" s="23">
        <f t="shared" si="16"/>
        <v>159.07999999999998</v>
      </c>
      <c r="G164" s="24">
        <f t="shared" si="16"/>
        <v>155.79999999999998</v>
      </c>
      <c r="H164" s="25">
        <f t="shared" si="16"/>
        <v>154.16</v>
      </c>
    </row>
    <row r="165" spans="1:8" x14ac:dyDescent="0.2">
      <c r="B165" s="6" t="s">
        <v>201</v>
      </c>
      <c r="C165" s="12" t="s">
        <v>196</v>
      </c>
      <c r="D165" s="34">
        <v>52</v>
      </c>
      <c r="E165" s="35">
        <v>37</v>
      </c>
      <c r="F165" s="23">
        <f t="shared" si="16"/>
        <v>35.89</v>
      </c>
      <c r="G165" s="24">
        <f t="shared" si="16"/>
        <v>35.15</v>
      </c>
      <c r="H165" s="25">
        <f t="shared" si="16"/>
        <v>34.78</v>
      </c>
    </row>
    <row r="166" spans="1:8" x14ac:dyDescent="0.2">
      <c r="A166" s="61"/>
      <c r="B166" s="6" t="s">
        <v>202</v>
      </c>
      <c r="C166" s="12" t="s">
        <v>196</v>
      </c>
      <c r="D166" s="34">
        <v>68</v>
      </c>
      <c r="E166" s="35">
        <v>49</v>
      </c>
      <c r="F166" s="23">
        <f t="shared" si="16"/>
        <v>47.53</v>
      </c>
      <c r="G166" s="24">
        <f t="shared" si="16"/>
        <v>46.55</v>
      </c>
      <c r="H166" s="25">
        <f t="shared" si="16"/>
        <v>46.059999999999995</v>
      </c>
    </row>
    <row r="167" spans="1:8" x14ac:dyDescent="0.2">
      <c r="B167" s="6" t="s">
        <v>203</v>
      </c>
      <c r="C167" s="12" t="s">
        <v>196</v>
      </c>
      <c r="D167" s="34">
        <v>89</v>
      </c>
      <c r="E167" s="35">
        <v>62</v>
      </c>
      <c r="F167" s="23">
        <f t="shared" si="16"/>
        <v>60.14</v>
      </c>
      <c r="G167" s="24">
        <f t="shared" si="16"/>
        <v>58.9</v>
      </c>
      <c r="H167" s="25">
        <f t="shared" si="16"/>
        <v>58.279999999999994</v>
      </c>
    </row>
    <row r="168" spans="1:8" x14ac:dyDescent="0.2">
      <c r="B168" s="6" t="s">
        <v>204</v>
      </c>
      <c r="C168" s="12" t="s">
        <v>196</v>
      </c>
      <c r="D168" s="34">
        <v>27</v>
      </c>
      <c r="E168" s="35">
        <v>22</v>
      </c>
      <c r="F168" s="23">
        <f t="shared" si="16"/>
        <v>21.34</v>
      </c>
      <c r="G168" s="24">
        <f t="shared" si="16"/>
        <v>20.9</v>
      </c>
      <c r="H168" s="25">
        <f t="shared" si="16"/>
        <v>20.68</v>
      </c>
    </row>
    <row r="169" spans="1:8" x14ac:dyDescent="0.2">
      <c r="A169" s="20"/>
      <c r="B169" s="2" t="s">
        <v>229</v>
      </c>
      <c r="C169" s="14"/>
      <c r="D169" s="48"/>
      <c r="E169" s="48"/>
      <c r="F169" s="48"/>
      <c r="G169" s="48"/>
      <c r="H169" s="48"/>
    </row>
    <row r="170" spans="1:8" x14ac:dyDescent="0.2">
      <c r="A170" s="61"/>
      <c r="B170" s="6" t="s">
        <v>155</v>
      </c>
      <c r="C170" s="12" t="s">
        <v>188</v>
      </c>
      <c r="D170" s="34">
        <v>107.65</v>
      </c>
      <c r="E170" s="35">
        <v>69.16</v>
      </c>
      <c r="F170" s="23">
        <f t="shared" ref="F170:H179" si="17">$E170*(1-F$1)</f>
        <v>67.0852</v>
      </c>
      <c r="G170" s="24">
        <f t="shared" si="17"/>
        <v>65.701999999999998</v>
      </c>
      <c r="H170" s="25">
        <f t="shared" si="17"/>
        <v>65.01039999999999</v>
      </c>
    </row>
    <row r="171" spans="1:8" x14ac:dyDescent="0.2">
      <c r="B171" s="6" t="s">
        <v>156</v>
      </c>
      <c r="C171" s="12" t="s">
        <v>188</v>
      </c>
      <c r="D171" s="34">
        <v>31.55</v>
      </c>
      <c r="E171" s="35">
        <v>20.27</v>
      </c>
      <c r="F171" s="23">
        <f t="shared" si="17"/>
        <v>19.661899999999999</v>
      </c>
      <c r="G171" s="24">
        <f t="shared" si="17"/>
        <v>19.256499999999999</v>
      </c>
      <c r="H171" s="25">
        <f t="shared" si="17"/>
        <v>19.053799999999999</v>
      </c>
    </row>
    <row r="172" spans="1:8" x14ac:dyDescent="0.2">
      <c r="B172" s="6" t="s">
        <v>157</v>
      </c>
      <c r="C172" s="12" t="s">
        <v>188</v>
      </c>
      <c r="D172" s="34">
        <v>135.69999999999999</v>
      </c>
      <c r="E172" s="35">
        <v>87.18</v>
      </c>
      <c r="F172" s="23">
        <f t="shared" si="17"/>
        <v>84.564599999999999</v>
      </c>
      <c r="G172" s="24">
        <f t="shared" si="17"/>
        <v>82.820999999999998</v>
      </c>
      <c r="H172" s="25">
        <f t="shared" si="17"/>
        <v>81.949200000000005</v>
      </c>
    </row>
    <row r="173" spans="1:8" x14ac:dyDescent="0.2">
      <c r="B173" s="6" t="s">
        <v>158</v>
      </c>
      <c r="C173" s="12" t="s">
        <v>188</v>
      </c>
      <c r="D173" s="34">
        <v>93.95</v>
      </c>
      <c r="E173" s="35">
        <v>60.35</v>
      </c>
      <c r="F173" s="23">
        <f t="shared" si="17"/>
        <v>58.539499999999997</v>
      </c>
      <c r="G173" s="24">
        <f t="shared" si="17"/>
        <v>57.332499999999996</v>
      </c>
      <c r="H173" s="25">
        <f t="shared" si="17"/>
        <v>56.728999999999999</v>
      </c>
    </row>
    <row r="174" spans="1:8" x14ac:dyDescent="0.2">
      <c r="B174" s="6" t="s">
        <v>159</v>
      </c>
      <c r="C174" s="12" t="s">
        <v>188</v>
      </c>
      <c r="D174" s="34">
        <v>55.7</v>
      </c>
      <c r="E174" s="35">
        <v>35.78</v>
      </c>
      <c r="F174" s="23">
        <f t="shared" si="17"/>
        <v>34.706600000000002</v>
      </c>
      <c r="G174" s="24">
        <f t="shared" si="17"/>
        <v>33.991</v>
      </c>
      <c r="H174" s="25">
        <f t="shared" si="17"/>
        <v>33.633200000000002</v>
      </c>
    </row>
    <row r="175" spans="1:8" x14ac:dyDescent="0.2">
      <c r="B175" s="6" t="s">
        <v>160</v>
      </c>
      <c r="C175" s="12" t="s">
        <v>188</v>
      </c>
      <c r="D175" s="34">
        <v>85.75</v>
      </c>
      <c r="E175" s="35">
        <v>55.09</v>
      </c>
      <c r="F175" s="23">
        <f t="shared" si="17"/>
        <v>53.4373</v>
      </c>
      <c r="G175" s="24">
        <f t="shared" si="17"/>
        <v>52.335500000000003</v>
      </c>
      <c r="H175" s="25">
        <f t="shared" si="17"/>
        <v>51.784599999999998</v>
      </c>
    </row>
    <row r="176" spans="1:8" x14ac:dyDescent="0.2">
      <c r="B176" s="8" t="s">
        <v>161</v>
      </c>
      <c r="C176" s="15" t="s">
        <v>188</v>
      </c>
      <c r="D176" s="21">
        <v>48.55</v>
      </c>
      <c r="E176" s="22">
        <v>31.19</v>
      </c>
      <c r="F176" s="23">
        <f t="shared" si="17"/>
        <v>30.254300000000001</v>
      </c>
      <c r="G176" s="24">
        <f t="shared" si="17"/>
        <v>29.630500000000001</v>
      </c>
      <c r="H176" s="25">
        <f t="shared" si="17"/>
        <v>29.3186</v>
      </c>
    </row>
    <row r="177" spans="1:8" x14ac:dyDescent="0.2">
      <c r="B177" s="8" t="s">
        <v>209</v>
      </c>
      <c r="C177" s="15" t="s">
        <v>188</v>
      </c>
      <c r="D177" s="21">
        <v>555.15</v>
      </c>
      <c r="E177" s="22">
        <v>356.63</v>
      </c>
      <c r="F177" s="23">
        <f t="shared" si="17"/>
        <v>345.93109999999996</v>
      </c>
      <c r="G177" s="24">
        <f t="shared" si="17"/>
        <v>338.79849999999999</v>
      </c>
      <c r="H177" s="25">
        <f t="shared" si="17"/>
        <v>335.23219999999998</v>
      </c>
    </row>
    <row r="178" spans="1:8" x14ac:dyDescent="0.2">
      <c r="B178" s="6" t="s">
        <v>162</v>
      </c>
      <c r="C178" s="12" t="s">
        <v>188</v>
      </c>
      <c r="D178" s="34">
        <v>394.95</v>
      </c>
      <c r="E178" s="35">
        <v>253.72</v>
      </c>
      <c r="F178" s="23">
        <f t="shared" si="17"/>
        <v>246.10839999999999</v>
      </c>
      <c r="G178" s="24">
        <f t="shared" si="17"/>
        <v>241.03399999999999</v>
      </c>
      <c r="H178" s="25">
        <f t="shared" si="17"/>
        <v>238.49679999999998</v>
      </c>
    </row>
    <row r="179" spans="1:8" x14ac:dyDescent="0.2">
      <c r="A179" s="60"/>
      <c r="B179" s="6" t="s">
        <v>163</v>
      </c>
      <c r="C179" s="12" t="s">
        <v>188</v>
      </c>
      <c r="D179" s="34">
        <v>120.85</v>
      </c>
      <c r="E179" s="35">
        <v>77.64</v>
      </c>
      <c r="F179" s="23">
        <f t="shared" si="17"/>
        <v>75.3108</v>
      </c>
      <c r="G179" s="24">
        <f t="shared" si="17"/>
        <v>73.757999999999996</v>
      </c>
      <c r="H179" s="25">
        <f t="shared" si="17"/>
        <v>72.9816</v>
      </c>
    </row>
    <row r="180" spans="1:8" x14ac:dyDescent="0.2">
      <c r="A180" s="60"/>
      <c r="B180" s="6" t="s">
        <v>230</v>
      </c>
      <c r="C180" s="12" t="s">
        <v>188</v>
      </c>
      <c r="D180" s="34">
        <v>56.14</v>
      </c>
      <c r="E180" s="35">
        <v>39.299999999999997</v>
      </c>
      <c r="F180" s="23">
        <v>39.299999999999997</v>
      </c>
      <c r="G180" s="24">
        <v>39.299999999999997</v>
      </c>
      <c r="H180" s="25">
        <v>39.299999999999997</v>
      </c>
    </row>
    <row r="181" spans="1:8" x14ac:dyDescent="0.2">
      <c r="A181" s="20"/>
      <c r="B181" s="2" t="s">
        <v>164</v>
      </c>
      <c r="C181" s="14"/>
      <c r="D181" s="48"/>
      <c r="E181" s="48"/>
      <c r="F181" s="48"/>
      <c r="G181" s="48"/>
      <c r="H181" s="48"/>
    </row>
    <row r="182" spans="1:8" x14ac:dyDescent="0.2">
      <c r="A182" s="61"/>
      <c r="B182" s="7" t="s">
        <v>252</v>
      </c>
      <c r="C182" s="13" t="s">
        <v>188</v>
      </c>
      <c r="D182" s="36">
        <v>33</v>
      </c>
      <c r="E182" s="37">
        <v>26</v>
      </c>
      <c r="F182" s="23">
        <f t="shared" ref="F182:H191" si="18">$E182*(1-F$1)</f>
        <v>25.22</v>
      </c>
      <c r="G182" s="24">
        <f t="shared" si="18"/>
        <v>24.7</v>
      </c>
      <c r="H182" s="25">
        <f t="shared" si="18"/>
        <v>24.439999999999998</v>
      </c>
    </row>
    <row r="183" spans="1:8" x14ac:dyDescent="0.2">
      <c r="B183" s="6" t="s">
        <v>165</v>
      </c>
      <c r="C183" s="12" t="s">
        <v>188</v>
      </c>
      <c r="D183" s="34">
        <v>1.4</v>
      </c>
      <c r="E183" s="35">
        <v>1.2</v>
      </c>
      <c r="F183" s="23">
        <f t="shared" si="18"/>
        <v>1.1639999999999999</v>
      </c>
      <c r="G183" s="24">
        <f t="shared" si="18"/>
        <v>1.1399999999999999</v>
      </c>
      <c r="H183" s="25">
        <f t="shared" si="18"/>
        <v>1.1279999999999999</v>
      </c>
    </row>
    <row r="184" spans="1:8" x14ac:dyDescent="0.2">
      <c r="B184" s="8" t="s">
        <v>166</v>
      </c>
      <c r="C184" s="15" t="s">
        <v>188</v>
      </c>
      <c r="D184" s="21">
        <v>8.8000000000000007</v>
      </c>
      <c r="E184" s="22">
        <v>7</v>
      </c>
      <c r="F184" s="23">
        <f t="shared" si="18"/>
        <v>6.79</v>
      </c>
      <c r="G184" s="24">
        <f t="shared" si="18"/>
        <v>6.6499999999999995</v>
      </c>
      <c r="H184" s="25">
        <f t="shared" si="18"/>
        <v>6.58</v>
      </c>
    </row>
    <row r="185" spans="1:8" x14ac:dyDescent="0.2">
      <c r="B185" s="6" t="s">
        <v>167</v>
      </c>
      <c r="C185" s="12" t="s">
        <v>188</v>
      </c>
      <c r="D185" s="34">
        <v>11.4</v>
      </c>
      <c r="E185" s="35">
        <v>9.6</v>
      </c>
      <c r="F185" s="23">
        <f t="shared" si="18"/>
        <v>9.3119999999999994</v>
      </c>
      <c r="G185" s="24">
        <f t="shared" si="18"/>
        <v>9.1199999999999992</v>
      </c>
      <c r="H185" s="25">
        <f t="shared" si="18"/>
        <v>9.0239999999999991</v>
      </c>
    </row>
    <row r="186" spans="1:8" x14ac:dyDescent="0.2">
      <c r="B186" s="6" t="s">
        <v>168</v>
      </c>
      <c r="C186" s="12" t="s">
        <v>188</v>
      </c>
      <c r="D186" s="34">
        <v>4.5999999999999996</v>
      </c>
      <c r="E186" s="35">
        <v>4</v>
      </c>
      <c r="F186" s="23">
        <f t="shared" si="18"/>
        <v>3.88</v>
      </c>
      <c r="G186" s="24">
        <f t="shared" si="18"/>
        <v>3.8</v>
      </c>
      <c r="H186" s="25">
        <f t="shared" si="18"/>
        <v>3.76</v>
      </c>
    </row>
    <row r="187" spans="1:8" x14ac:dyDescent="0.2">
      <c r="B187" s="6" t="s">
        <v>169</v>
      </c>
      <c r="C187" s="12" t="s">
        <v>188</v>
      </c>
      <c r="D187" s="34">
        <v>5.2</v>
      </c>
      <c r="E187" s="35">
        <v>4.4000000000000004</v>
      </c>
      <c r="F187" s="23">
        <f t="shared" si="18"/>
        <v>4.2679999999999998</v>
      </c>
      <c r="G187" s="24">
        <f t="shared" si="18"/>
        <v>4.18</v>
      </c>
      <c r="H187" s="25">
        <f t="shared" si="18"/>
        <v>4.1360000000000001</v>
      </c>
    </row>
    <row r="188" spans="1:8" x14ac:dyDescent="0.2">
      <c r="B188" s="6" t="s">
        <v>170</v>
      </c>
      <c r="C188" s="12" t="s">
        <v>188</v>
      </c>
      <c r="D188" s="34">
        <v>4</v>
      </c>
      <c r="E188" s="35">
        <v>3.4</v>
      </c>
      <c r="F188" s="23">
        <f t="shared" si="18"/>
        <v>3.298</v>
      </c>
      <c r="G188" s="24">
        <f t="shared" si="18"/>
        <v>3.23</v>
      </c>
      <c r="H188" s="25">
        <f t="shared" si="18"/>
        <v>3.1959999999999997</v>
      </c>
    </row>
    <row r="189" spans="1:8" x14ac:dyDescent="0.2">
      <c r="B189" s="6" t="s">
        <v>171</v>
      </c>
      <c r="C189" s="12" t="s">
        <v>188</v>
      </c>
      <c r="D189" s="34">
        <v>3.6</v>
      </c>
      <c r="E189" s="35">
        <v>3</v>
      </c>
      <c r="F189" s="23">
        <f t="shared" si="18"/>
        <v>2.91</v>
      </c>
      <c r="G189" s="24">
        <f t="shared" si="18"/>
        <v>2.8499999999999996</v>
      </c>
      <c r="H189" s="25">
        <f t="shared" si="18"/>
        <v>2.82</v>
      </c>
    </row>
    <row r="190" spans="1:8" x14ac:dyDescent="0.2">
      <c r="B190" s="6" t="s">
        <v>172</v>
      </c>
      <c r="C190" s="12" t="s">
        <v>188</v>
      </c>
      <c r="D190" s="34">
        <v>11.8</v>
      </c>
      <c r="E190" s="35">
        <v>10.199999999999999</v>
      </c>
      <c r="F190" s="23">
        <f t="shared" si="18"/>
        <v>9.8939999999999984</v>
      </c>
      <c r="G190" s="24">
        <f t="shared" si="18"/>
        <v>9.69</v>
      </c>
      <c r="H190" s="25">
        <f t="shared" si="18"/>
        <v>9.5879999999999992</v>
      </c>
    </row>
    <row r="191" spans="1:8" x14ac:dyDescent="0.2">
      <c r="A191" s="60"/>
      <c r="B191" s="6" t="s">
        <v>173</v>
      </c>
      <c r="C191" s="12" t="s">
        <v>188</v>
      </c>
      <c r="D191" s="34">
        <v>19.600000000000001</v>
      </c>
      <c r="E191" s="35">
        <v>17</v>
      </c>
      <c r="F191" s="23">
        <f t="shared" si="18"/>
        <v>16.489999999999998</v>
      </c>
      <c r="G191" s="24">
        <f t="shared" si="18"/>
        <v>16.149999999999999</v>
      </c>
      <c r="H191" s="25">
        <f t="shared" si="18"/>
        <v>15.979999999999999</v>
      </c>
    </row>
    <row r="192" spans="1:8" x14ac:dyDescent="0.2">
      <c r="A192" s="20"/>
      <c r="B192" s="2" t="s">
        <v>231</v>
      </c>
      <c r="C192" s="14"/>
      <c r="D192" s="48"/>
      <c r="E192" s="48"/>
      <c r="F192" s="48"/>
      <c r="G192" s="48"/>
      <c r="H192" s="48"/>
    </row>
    <row r="193" spans="1:8" x14ac:dyDescent="0.2">
      <c r="A193" s="61"/>
      <c r="B193" s="8" t="s">
        <v>232</v>
      </c>
      <c r="C193" s="13" t="s">
        <v>188</v>
      </c>
      <c r="D193" s="21">
        <v>96.98</v>
      </c>
      <c r="E193" s="22">
        <v>80.819999999999993</v>
      </c>
      <c r="F193" s="23">
        <v>80.819999999999993</v>
      </c>
      <c r="G193" s="24">
        <v>80.819999999999993</v>
      </c>
      <c r="H193" s="25">
        <v>80.819999999999993</v>
      </c>
    </row>
    <row r="194" spans="1:8" x14ac:dyDescent="0.2">
      <c r="A194" s="61"/>
      <c r="B194" s="8" t="s">
        <v>233</v>
      </c>
      <c r="C194" s="12" t="s">
        <v>188</v>
      </c>
      <c r="D194" s="21">
        <v>118.28</v>
      </c>
      <c r="E194" s="22">
        <v>98.57</v>
      </c>
      <c r="F194" s="23">
        <v>98.57</v>
      </c>
      <c r="G194" s="24">
        <v>98.57</v>
      </c>
      <c r="H194" s="25">
        <v>98.57</v>
      </c>
    </row>
    <row r="195" spans="1:8" x14ac:dyDescent="0.2">
      <c r="A195" s="61"/>
      <c r="B195" s="8" t="s">
        <v>234</v>
      </c>
      <c r="C195" s="15" t="s">
        <v>188</v>
      </c>
      <c r="D195" s="21">
        <v>101.15</v>
      </c>
      <c r="E195" s="22">
        <v>84.29</v>
      </c>
      <c r="F195" s="23">
        <v>84.29</v>
      </c>
      <c r="G195" s="24">
        <v>84.29</v>
      </c>
      <c r="H195" s="25">
        <v>84.29</v>
      </c>
    </row>
    <row r="196" spans="1:8" x14ac:dyDescent="0.2">
      <c r="A196" s="61"/>
      <c r="B196" s="8" t="s">
        <v>235</v>
      </c>
      <c r="C196" s="12" t="s">
        <v>188</v>
      </c>
      <c r="D196" s="21">
        <v>6.37</v>
      </c>
      <c r="E196" s="22">
        <v>5.31</v>
      </c>
      <c r="F196" s="23">
        <v>5.31</v>
      </c>
      <c r="G196" s="24">
        <v>5.31</v>
      </c>
      <c r="H196" s="25">
        <v>5.31</v>
      </c>
    </row>
    <row r="197" spans="1:8" x14ac:dyDescent="0.2">
      <c r="A197" s="61"/>
      <c r="B197" s="8" t="s">
        <v>236</v>
      </c>
      <c r="C197" s="12" t="s">
        <v>188</v>
      </c>
      <c r="D197" s="21">
        <v>6.37</v>
      </c>
      <c r="E197" s="22">
        <v>5.31</v>
      </c>
      <c r="F197" s="23">
        <v>5.31</v>
      </c>
      <c r="G197" s="24">
        <v>5.31</v>
      </c>
      <c r="H197" s="25">
        <v>5.31</v>
      </c>
    </row>
    <row r="198" spans="1:8" x14ac:dyDescent="0.2">
      <c r="A198" s="61"/>
      <c r="B198" s="8" t="s">
        <v>237</v>
      </c>
      <c r="C198" s="12" t="s">
        <v>188</v>
      </c>
      <c r="D198" s="21">
        <v>18.18</v>
      </c>
      <c r="E198" s="22">
        <v>15.15</v>
      </c>
      <c r="F198" s="23">
        <v>15.15</v>
      </c>
      <c r="G198" s="24">
        <v>15.15</v>
      </c>
      <c r="H198" s="25">
        <v>15.15</v>
      </c>
    </row>
    <row r="199" spans="1:8" x14ac:dyDescent="0.2">
      <c r="A199" s="61"/>
      <c r="B199" s="8" t="s">
        <v>238</v>
      </c>
      <c r="C199" s="12" t="s">
        <v>188</v>
      </c>
      <c r="D199" s="21">
        <v>10.67</v>
      </c>
      <c r="E199" s="22">
        <v>8.89</v>
      </c>
      <c r="F199" s="23">
        <v>8.89</v>
      </c>
      <c r="G199" s="24">
        <v>8.89</v>
      </c>
      <c r="H199" s="25">
        <v>8.89</v>
      </c>
    </row>
    <row r="200" spans="1:8" x14ac:dyDescent="0.2">
      <c r="A200" s="61"/>
      <c r="B200" s="8" t="s">
        <v>245</v>
      </c>
      <c r="C200" s="12" t="s">
        <v>188</v>
      </c>
      <c r="D200" s="21">
        <v>9.61</v>
      </c>
      <c r="E200" s="22">
        <v>8.01</v>
      </c>
      <c r="F200" s="23">
        <v>8.01</v>
      </c>
      <c r="G200" s="24">
        <v>8.01</v>
      </c>
      <c r="H200" s="25">
        <v>8.01</v>
      </c>
    </row>
    <row r="201" spans="1:8" x14ac:dyDescent="0.2">
      <c r="A201" s="61"/>
      <c r="B201" s="8" t="s">
        <v>246</v>
      </c>
      <c r="C201" s="12" t="s">
        <v>188</v>
      </c>
      <c r="D201" s="21">
        <v>13.13</v>
      </c>
      <c r="E201" s="22">
        <v>10.94</v>
      </c>
      <c r="F201" s="23">
        <v>10.94</v>
      </c>
      <c r="G201" s="24">
        <v>10.94</v>
      </c>
      <c r="H201" s="25">
        <v>10.94</v>
      </c>
    </row>
    <row r="202" spans="1:8" x14ac:dyDescent="0.2">
      <c r="A202" s="61"/>
      <c r="B202" s="8" t="s">
        <v>247</v>
      </c>
      <c r="C202" s="12" t="s">
        <v>188</v>
      </c>
      <c r="D202" s="21">
        <v>7.74</v>
      </c>
      <c r="E202" s="22">
        <v>6.45</v>
      </c>
      <c r="F202" s="23">
        <v>6.45</v>
      </c>
      <c r="G202" s="24">
        <v>6.45</v>
      </c>
      <c r="H202" s="25">
        <v>6.45</v>
      </c>
    </row>
    <row r="203" spans="1:8" x14ac:dyDescent="0.2">
      <c r="A203" s="61"/>
      <c r="B203" s="8" t="s">
        <v>244</v>
      </c>
      <c r="C203" s="12" t="s">
        <v>188</v>
      </c>
      <c r="D203" s="21">
        <v>28.28</v>
      </c>
      <c r="E203" s="22">
        <v>23.57</v>
      </c>
      <c r="F203" s="23">
        <v>23.57</v>
      </c>
      <c r="G203" s="24">
        <v>23.57</v>
      </c>
      <c r="H203" s="25">
        <v>23.57</v>
      </c>
    </row>
    <row r="204" spans="1:8" x14ac:dyDescent="0.2">
      <c r="A204" s="61"/>
      <c r="B204" s="8" t="s">
        <v>243</v>
      </c>
      <c r="C204" s="12" t="s">
        <v>188</v>
      </c>
      <c r="D204" s="21">
        <v>19.21</v>
      </c>
      <c r="E204" s="22">
        <v>16.010000000000002</v>
      </c>
      <c r="F204" s="23">
        <v>16.010000000000002</v>
      </c>
      <c r="G204" s="24">
        <v>16.010000000000002</v>
      </c>
      <c r="H204" s="25">
        <v>16.010000000000002</v>
      </c>
    </row>
    <row r="205" spans="1:8" x14ac:dyDescent="0.2">
      <c r="A205" s="61"/>
      <c r="B205" s="8" t="s">
        <v>242</v>
      </c>
      <c r="C205" s="12" t="s">
        <v>188</v>
      </c>
      <c r="D205" s="21">
        <v>34.06</v>
      </c>
      <c r="E205" s="22">
        <v>28.38</v>
      </c>
      <c r="F205" s="23">
        <v>28.38</v>
      </c>
      <c r="G205" s="24">
        <v>28.38</v>
      </c>
      <c r="H205" s="25">
        <v>28.28</v>
      </c>
    </row>
    <row r="206" spans="1:8" x14ac:dyDescent="0.2">
      <c r="A206" s="61"/>
      <c r="B206" s="8" t="s">
        <v>239</v>
      </c>
      <c r="C206" s="12" t="s">
        <v>188</v>
      </c>
      <c r="D206" s="21">
        <v>3.7</v>
      </c>
      <c r="E206" s="22">
        <v>3.08</v>
      </c>
      <c r="F206" s="23">
        <v>3.08</v>
      </c>
      <c r="G206" s="24">
        <v>3.08</v>
      </c>
      <c r="H206" s="25">
        <v>3.08</v>
      </c>
    </row>
    <row r="207" spans="1:8" x14ac:dyDescent="0.2">
      <c r="A207" s="61"/>
      <c r="B207" s="8" t="s">
        <v>241</v>
      </c>
      <c r="C207" s="12" t="s">
        <v>188</v>
      </c>
      <c r="D207" s="21">
        <v>7.97</v>
      </c>
      <c r="E207" s="22">
        <v>6.64</v>
      </c>
      <c r="F207" s="23">
        <v>6.64</v>
      </c>
      <c r="G207" s="24">
        <v>6.64</v>
      </c>
      <c r="H207" s="25">
        <v>6.64</v>
      </c>
    </row>
    <row r="208" spans="1:8" x14ac:dyDescent="0.2">
      <c r="A208" s="61"/>
      <c r="B208" s="8" t="s">
        <v>240</v>
      </c>
      <c r="C208" s="12" t="s">
        <v>188</v>
      </c>
      <c r="D208" s="21">
        <v>13.13</v>
      </c>
      <c r="E208" s="22">
        <v>10.94</v>
      </c>
      <c r="F208" s="23">
        <v>10.94</v>
      </c>
      <c r="G208" s="24">
        <v>10.94</v>
      </c>
      <c r="H208" s="25">
        <v>10.94</v>
      </c>
    </row>
    <row r="209" spans="1:8" x14ac:dyDescent="0.2">
      <c r="A209" s="20"/>
      <c r="B209" s="2" t="s">
        <v>174</v>
      </c>
      <c r="C209" s="14"/>
      <c r="D209" s="48"/>
      <c r="E209" s="48"/>
      <c r="F209" s="48"/>
      <c r="G209" s="48"/>
      <c r="H209" s="48"/>
    </row>
    <row r="210" spans="1:8" x14ac:dyDescent="0.2">
      <c r="A210" s="61"/>
      <c r="B210" s="8" t="s">
        <v>179</v>
      </c>
      <c r="C210" s="15" t="s">
        <v>196</v>
      </c>
      <c r="D210" s="21">
        <v>167</v>
      </c>
      <c r="E210" s="22">
        <v>133</v>
      </c>
      <c r="F210" s="23">
        <f t="shared" ref="F210:H217" si="19">$E210*(1-F$1)</f>
        <v>129.01</v>
      </c>
      <c r="G210" s="24">
        <f t="shared" si="19"/>
        <v>126.35</v>
      </c>
      <c r="H210" s="25">
        <f t="shared" si="19"/>
        <v>125.02</v>
      </c>
    </row>
    <row r="211" spans="1:8" x14ac:dyDescent="0.2">
      <c r="B211" s="8" t="s">
        <v>175</v>
      </c>
      <c r="C211" s="15" t="s">
        <v>196</v>
      </c>
      <c r="D211" s="21">
        <v>190</v>
      </c>
      <c r="E211" s="22">
        <v>152</v>
      </c>
      <c r="F211" s="23">
        <f t="shared" si="19"/>
        <v>147.44</v>
      </c>
      <c r="G211" s="24">
        <f t="shared" si="19"/>
        <v>144.4</v>
      </c>
      <c r="H211" s="25">
        <f t="shared" si="19"/>
        <v>142.88</v>
      </c>
    </row>
    <row r="212" spans="1:8" x14ac:dyDescent="0.2">
      <c r="B212" s="6" t="s">
        <v>176</v>
      </c>
      <c r="C212" s="12" t="s">
        <v>196</v>
      </c>
      <c r="D212" s="34">
        <v>108</v>
      </c>
      <c r="E212" s="35">
        <v>86</v>
      </c>
      <c r="F212" s="23">
        <f t="shared" si="19"/>
        <v>83.42</v>
      </c>
      <c r="G212" s="24">
        <f t="shared" si="19"/>
        <v>81.7</v>
      </c>
      <c r="H212" s="25">
        <f t="shared" si="19"/>
        <v>80.839999999999989</v>
      </c>
    </row>
    <row r="213" spans="1:8" x14ac:dyDescent="0.2">
      <c r="B213" s="6" t="s">
        <v>177</v>
      </c>
      <c r="C213" s="12" t="s">
        <v>196</v>
      </c>
      <c r="D213" s="34">
        <v>29</v>
      </c>
      <c r="E213" s="35">
        <v>22</v>
      </c>
      <c r="F213" s="23">
        <f t="shared" si="19"/>
        <v>21.34</v>
      </c>
      <c r="G213" s="24">
        <f t="shared" si="19"/>
        <v>20.9</v>
      </c>
      <c r="H213" s="25">
        <f t="shared" si="19"/>
        <v>20.68</v>
      </c>
    </row>
    <row r="214" spans="1:8" x14ac:dyDescent="0.2">
      <c r="A214" s="60"/>
      <c r="B214" s="6" t="s">
        <v>178</v>
      </c>
      <c r="C214" s="12" t="s">
        <v>196</v>
      </c>
      <c r="D214" s="34">
        <v>220</v>
      </c>
      <c r="E214" s="35">
        <v>174</v>
      </c>
      <c r="F214" s="23">
        <f t="shared" si="19"/>
        <v>168.78</v>
      </c>
      <c r="G214" s="24">
        <f t="shared" si="19"/>
        <v>165.29999999999998</v>
      </c>
      <c r="H214" s="25">
        <f t="shared" si="19"/>
        <v>163.56</v>
      </c>
    </row>
    <row r="215" spans="1:8" x14ac:dyDescent="0.2">
      <c r="A215" s="20"/>
      <c r="B215" s="2" t="s">
        <v>180</v>
      </c>
      <c r="C215" s="14"/>
      <c r="D215" s="48"/>
      <c r="E215" s="48"/>
      <c r="F215" s="48"/>
      <c r="G215" s="48"/>
      <c r="H215" s="48"/>
    </row>
    <row r="216" spans="1:8" ht="12" customHeight="1" x14ac:dyDescent="0.2">
      <c r="A216" s="61"/>
      <c r="B216" s="8" t="s">
        <v>181</v>
      </c>
      <c r="C216" s="15" t="s">
        <v>197</v>
      </c>
      <c r="D216" s="62">
        <v>53</v>
      </c>
      <c r="E216" s="63">
        <v>43</v>
      </c>
      <c r="F216" s="23">
        <f t="shared" si="19"/>
        <v>41.71</v>
      </c>
      <c r="G216" s="24">
        <f t="shared" si="19"/>
        <v>40.85</v>
      </c>
      <c r="H216" s="25">
        <f t="shared" si="19"/>
        <v>40.419999999999995</v>
      </c>
    </row>
    <row r="217" spans="1:8" x14ac:dyDescent="0.2">
      <c r="B217" s="8" t="s">
        <v>248</v>
      </c>
      <c r="C217" s="15" t="s">
        <v>249</v>
      </c>
      <c r="D217" s="62">
        <v>50</v>
      </c>
      <c r="E217" s="63">
        <v>34</v>
      </c>
      <c r="F217" s="23">
        <f t="shared" si="19"/>
        <v>32.979999999999997</v>
      </c>
      <c r="G217" s="24">
        <f t="shared" si="19"/>
        <v>32.299999999999997</v>
      </c>
      <c r="H217" s="25">
        <f t="shared" si="19"/>
        <v>31.959999999999997</v>
      </c>
    </row>
    <row r="218" spans="1:8" x14ac:dyDescent="0.2">
      <c r="B218" s="6" t="s">
        <v>182</v>
      </c>
      <c r="C218" s="12" t="s">
        <v>197</v>
      </c>
      <c r="D218" s="64" t="s">
        <v>210</v>
      </c>
      <c r="E218" s="65" t="s">
        <v>210</v>
      </c>
      <c r="F218" s="66" t="s">
        <v>210</v>
      </c>
      <c r="G218" s="67" t="s">
        <v>210</v>
      </c>
      <c r="H218" s="68" t="s">
        <v>210</v>
      </c>
    </row>
    <row r="219" spans="1:8" x14ac:dyDescent="0.2">
      <c r="B219" s="6" t="s">
        <v>183</v>
      </c>
      <c r="C219" s="12" t="s">
        <v>197</v>
      </c>
      <c r="D219" s="64" t="s">
        <v>210</v>
      </c>
      <c r="E219" s="65" t="s">
        <v>210</v>
      </c>
      <c r="F219" s="66" t="s">
        <v>210</v>
      </c>
      <c r="G219" s="67" t="s">
        <v>210</v>
      </c>
      <c r="H219" s="68" t="s">
        <v>210</v>
      </c>
    </row>
    <row r="220" spans="1:8" x14ac:dyDescent="0.2">
      <c r="A220" s="60"/>
      <c r="B220" s="6" t="s">
        <v>184</v>
      </c>
      <c r="C220" s="12" t="s">
        <v>197</v>
      </c>
      <c r="D220" s="34">
        <v>58</v>
      </c>
      <c r="E220" s="35">
        <v>37</v>
      </c>
      <c r="F220" s="23">
        <f t="shared" ref="F220:H220" si="20">$E220*(1-F$1)</f>
        <v>35.89</v>
      </c>
      <c r="G220" s="24">
        <f t="shared" si="20"/>
        <v>35.15</v>
      </c>
      <c r="H220" s="25">
        <f t="shared" si="20"/>
        <v>34.78</v>
      </c>
    </row>
    <row r="221" spans="1:8" x14ac:dyDescent="0.2">
      <c r="A221" s="20"/>
      <c r="B221" s="2" t="s">
        <v>185</v>
      </c>
      <c r="C221" s="14"/>
      <c r="D221" s="48"/>
      <c r="E221" s="48"/>
      <c r="F221" s="48"/>
      <c r="G221" s="48"/>
      <c r="H221" s="48"/>
    </row>
    <row r="222" spans="1:8" x14ac:dyDescent="0.2">
      <c r="A222" s="61"/>
      <c r="B222" s="6" t="s">
        <v>186</v>
      </c>
      <c r="C222" s="12" t="s">
        <v>198</v>
      </c>
      <c r="D222" s="34">
        <v>8</v>
      </c>
      <c r="E222" s="35">
        <v>4</v>
      </c>
      <c r="F222" s="23">
        <v>4</v>
      </c>
      <c r="G222" s="24">
        <v>4</v>
      </c>
      <c r="H222" s="25">
        <v>4</v>
      </c>
    </row>
    <row r="223" spans="1:8" x14ac:dyDescent="0.2">
      <c r="B223" s="6" t="s">
        <v>187</v>
      </c>
      <c r="C223" s="12" t="s">
        <v>199</v>
      </c>
      <c r="D223" s="34">
        <v>20</v>
      </c>
      <c r="E223" s="35">
        <v>20</v>
      </c>
      <c r="F223" s="23">
        <v>20</v>
      </c>
      <c r="G223" s="24">
        <v>20</v>
      </c>
      <c r="H223" s="25">
        <v>20</v>
      </c>
    </row>
    <row r="224" spans="1:8" ht="21.75" customHeight="1" x14ac:dyDescent="0.2">
      <c r="A224" s="273" t="s">
        <v>211</v>
      </c>
      <c r="B224" s="274"/>
      <c r="C224" s="274"/>
      <c r="D224" s="274"/>
      <c r="E224" s="274"/>
      <c r="F224" s="274"/>
      <c r="G224" s="274"/>
      <c r="H224" s="274"/>
    </row>
  </sheetData>
  <mergeCells count="5">
    <mergeCell ref="A224:H224"/>
    <mergeCell ref="A2:H2"/>
    <mergeCell ref="A102:H102"/>
    <mergeCell ref="A111:H111"/>
    <mergeCell ref="A115:H115"/>
  </mergeCells>
  <printOptions horizontalCentered="1" gridLines="1"/>
  <pageMargins left="0.15" right="0.15" top="0.6" bottom="0.15" header="0.15" footer="0.15"/>
  <pageSetup scale="89" fitToHeight="0" orientation="portrait" horizontalDpi="1200" verticalDpi="1200" r:id="rId1"/>
  <headerFooter>
    <oddHeader>&amp;C&amp;G</oddHeader>
    <oddFooter>&amp;RUpdated &amp;D</oddFooter>
  </headerFooter>
  <rowBreaks count="3" manualBreakCount="3">
    <brk id="65" max="7" man="1"/>
    <brk id="130" max="7" man="1"/>
    <brk id="191" max="7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47A0E-E12C-4A24-992E-7DB281015528}">
  <dimension ref="A1:K219"/>
  <sheetViews>
    <sheetView topLeftCell="A32" workbookViewId="0">
      <selection activeCell="L3" sqref="L3"/>
    </sheetView>
  </sheetViews>
  <sheetFormatPr defaultColWidth="9.140625" defaultRowHeight="12" x14ac:dyDescent="0.2"/>
  <cols>
    <col min="1" max="1" width="5.5703125" style="133" customWidth="1"/>
    <col min="2" max="2" width="2.7109375" style="240" customWidth="1"/>
    <col min="3" max="3" width="42.7109375" style="135" customWidth="1"/>
    <col min="4" max="4" width="21.7109375" style="9" customWidth="1"/>
    <col min="5" max="5" width="8.140625" style="9" customWidth="1"/>
    <col min="6" max="6" width="10.42578125" style="9" customWidth="1"/>
    <col min="7" max="7" width="10.5703125" style="160" customWidth="1"/>
    <col min="8" max="8" width="10.28515625" style="134" hidden="1" customWidth="1"/>
    <col min="9" max="10" width="9.85546875" style="134" hidden="1" customWidth="1"/>
    <col min="11" max="11" width="0.85546875" style="134" hidden="1" customWidth="1"/>
    <col min="12" max="16384" width="9.140625" style="1"/>
  </cols>
  <sheetData>
    <row r="1" spans="1:11" s="176" customFormat="1" ht="229.5" customHeight="1" thickBot="1" x14ac:dyDescent="0.25">
      <c r="A1" s="294"/>
      <c r="B1" s="295"/>
      <c r="C1" s="295"/>
      <c r="D1" s="295"/>
      <c r="E1" s="295"/>
      <c r="F1" s="295"/>
      <c r="G1" s="295"/>
      <c r="H1" s="174"/>
      <c r="I1" s="175"/>
      <c r="J1" s="175"/>
      <c r="K1" s="175"/>
    </row>
    <row r="2" spans="1:11" ht="23.25" customHeight="1" x14ac:dyDescent="0.3">
      <c r="A2" s="297" t="s">
        <v>797</v>
      </c>
      <c r="B2" s="297"/>
      <c r="C2" s="298"/>
      <c r="D2" s="298"/>
      <c r="E2" s="298"/>
      <c r="F2" s="298"/>
      <c r="G2" s="298"/>
      <c r="H2" s="298"/>
      <c r="I2" s="298"/>
      <c r="J2" s="298"/>
      <c r="K2" s="298"/>
    </row>
    <row r="3" spans="1:11" ht="12.75" customHeight="1" x14ac:dyDescent="0.2">
      <c r="A3" s="247" t="s">
        <v>386</v>
      </c>
      <c r="B3" s="248"/>
      <c r="C3" s="136" t="s">
        <v>823</v>
      </c>
      <c r="D3" s="148" t="s">
        <v>389</v>
      </c>
      <c r="E3" s="10" t="s">
        <v>21</v>
      </c>
      <c r="F3" s="10" t="s">
        <v>390</v>
      </c>
      <c r="G3" s="158" t="s">
        <v>0</v>
      </c>
      <c r="H3" s="30" t="s">
        <v>4</v>
      </c>
      <c r="I3" s="31" t="s">
        <v>1</v>
      </c>
      <c r="J3" s="32" t="s">
        <v>2</v>
      </c>
      <c r="K3" s="33" t="s">
        <v>3</v>
      </c>
    </row>
    <row r="4" spans="1:11" ht="12.75" customHeight="1" x14ac:dyDescent="0.2">
      <c r="A4" s="157"/>
      <c r="B4" s="49"/>
      <c r="C4" s="2" t="s">
        <v>6</v>
      </c>
      <c r="D4" s="20"/>
      <c r="E4" s="14"/>
      <c r="F4" s="14"/>
      <c r="G4" s="14"/>
      <c r="H4" s="47"/>
      <c r="I4" s="47"/>
      <c r="J4" s="47"/>
      <c r="K4" s="47"/>
    </row>
    <row r="5" spans="1:11" ht="12" customHeight="1" x14ac:dyDescent="0.2">
      <c r="A5" s="57" t="str">
        <f>IF('2026'!B5="","",'2026'!B5)</f>
        <v>B1</v>
      </c>
      <c r="B5" s="239" t="str">
        <f>IF('2026'!C5="","",'2026'!C5)</f>
        <v/>
      </c>
      <c r="C5" s="195" t="str">
        <f>IF('2026'!D5="","",'2026'!D5)</f>
        <v>Weathered Limestone Boulders/Ledge</v>
      </c>
      <c r="D5" s="289" t="s">
        <v>438</v>
      </c>
      <c r="E5" s="57" t="str">
        <f>IF('2026'!E5="","",'2026'!E5)</f>
        <v>ton</v>
      </c>
      <c r="F5" s="149">
        <f>G5/2000</f>
        <v>0.26</v>
      </c>
      <c r="G5" s="159">
        <f>IF('2026'!F5="","",'2026'!F5)</f>
        <v>520</v>
      </c>
      <c r="H5" s="35">
        <f>IF('2026'!G5="","",'2026'!G5)</f>
        <v>371</v>
      </c>
      <c r="I5" s="23">
        <f>IF('2026'!H5="","",'2026'!H5)</f>
        <v>359.87</v>
      </c>
      <c r="J5" s="24">
        <f>IF('2026'!I5="","",'2026'!I5)</f>
        <v>352.45</v>
      </c>
      <c r="K5" s="25">
        <f>IF('2026'!J5="","",'2026'!J5)</f>
        <v>348.73999999999995</v>
      </c>
    </row>
    <row r="6" spans="1:11" x14ac:dyDescent="0.2">
      <c r="A6" s="57" t="str">
        <f>IF('2026'!B6="","",'2026'!B6)</f>
        <v>B2</v>
      </c>
      <c r="B6" s="239" t="str">
        <f>IF('2026'!C6="","",'2026'!C6)</f>
        <v/>
      </c>
      <c r="C6" s="195" t="str">
        <f>IF('2026'!D6="","",'2026'!D6)</f>
        <v>Mossy Mountain Boulders</v>
      </c>
      <c r="D6" s="290"/>
      <c r="E6" s="57" t="str">
        <f>IF('2026'!E6="","",'2026'!E6)</f>
        <v>ton</v>
      </c>
      <c r="F6" s="149">
        <f t="shared" ref="F6:F29" si="0">G6/2000</f>
        <v>0.23150000000000001</v>
      </c>
      <c r="G6" s="159">
        <f>IF('2026'!F6="","",'2026'!F6)</f>
        <v>463</v>
      </c>
      <c r="H6" s="35">
        <f>IF('2026'!G6="","",'2026'!G6)</f>
        <v>289</v>
      </c>
      <c r="I6" s="23">
        <f>IF('2026'!H6="","",'2026'!H6)</f>
        <v>280.33</v>
      </c>
      <c r="J6" s="24">
        <f>IF('2026'!I6="","",'2026'!I6)</f>
        <v>274.55</v>
      </c>
      <c r="K6" s="25">
        <f>IF('2026'!J6="","",'2026'!J6)</f>
        <v>271.65999999999997</v>
      </c>
    </row>
    <row r="7" spans="1:11" x14ac:dyDescent="0.2">
      <c r="A7" s="57" t="str">
        <f>IF('2026'!B7="","",'2026'!B7)</f>
        <v>B3</v>
      </c>
      <c r="B7" s="239" t="str">
        <f>IF('2026'!C7="","",'2026'!C7)</f>
        <v/>
      </c>
      <c r="C7" s="195" t="str">
        <f>IF('2026'!D7="","",'2026'!D7)</f>
        <v>Glacial Boulders</v>
      </c>
      <c r="D7" s="290"/>
      <c r="E7" s="57" t="str">
        <f>IF('2026'!E7="","",'2026'!E7)</f>
        <v>ton</v>
      </c>
      <c r="F7" s="149">
        <f t="shared" si="0"/>
        <v>0.3125</v>
      </c>
      <c r="G7" s="159">
        <f>IF('2026'!F7="","",'2026'!F7)</f>
        <v>625</v>
      </c>
      <c r="H7" s="35">
        <f>IF('2026'!G7="","",'2026'!G7)</f>
        <v>463</v>
      </c>
      <c r="I7" s="23">
        <f>IF('2026'!H7="","",'2026'!H7)</f>
        <v>449.11</v>
      </c>
      <c r="J7" s="24">
        <f>IF('2026'!I7="","",'2026'!I7)</f>
        <v>439.84999999999997</v>
      </c>
      <c r="K7" s="25">
        <f>IF('2026'!J7="","",'2026'!J7)</f>
        <v>435.21999999999997</v>
      </c>
    </row>
    <row r="8" spans="1:11" x14ac:dyDescent="0.2">
      <c r="A8" s="57" t="str">
        <f>IF('2026'!B8="","",'2026'!B8)</f>
        <v>B4</v>
      </c>
      <c r="B8" s="239" t="str">
        <f>IF('2026'!C8="","",'2026'!C8)</f>
        <v/>
      </c>
      <c r="C8" s="195" t="str">
        <f>IF('2026'!D8="","",'2026'!D8)</f>
        <v>Cobalt Black Granite Boulders</v>
      </c>
      <c r="D8" s="290"/>
      <c r="E8" s="57" t="str">
        <f>IF('2026'!E8="","",'2026'!E8)</f>
        <v>ton</v>
      </c>
      <c r="F8" s="149">
        <f t="shared" si="0"/>
        <v>0.23100000000000001</v>
      </c>
      <c r="G8" s="159">
        <f>IF('2026'!F8="","",'2026'!F8)</f>
        <v>462</v>
      </c>
      <c r="H8" s="35">
        <f>IF('2026'!G8="","",'2026'!G8)</f>
        <v>324</v>
      </c>
      <c r="I8" s="23">
        <f>IF('2026'!H8="","",'2026'!H8)</f>
        <v>314.27999999999997</v>
      </c>
      <c r="J8" s="24">
        <f>IF('2026'!I8="","",'2026'!I8)</f>
        <v>307.8</v>
      </c>
      <c r="K8" s="25">
        <f>IF('2026'!J8="","",'2026'!J8)</f>
        <v>304.56</v>
      </c>
    </row>
    <row r="9" spans="1:11" x14ac:dyDescent="0.2">
      <c r="A9" s="57" t="str">
        <f>IF('2026'!B9="","",'2026'!B9)</f>
        <v>B5</v>
      </c>
      <c r="B9" s="239" t="str">
        <f>IF('2026'!C9="","",'2026'!C9)</f>
        <v/>
      </c>
      <c r="C9" s="195" t="str">
        <f>IF('2026'!D9="","",'2026'!D9)</f>
        <v>Meridian Red Boulders</v>
      </c>
      <c r="D9" s="290"/>
      <c r="E9" s="57" t="str">
        <f>IF('2026'!E9="","",'2026'!E9)</f>
        <v>ton</v>
      </c>
      <c r="F9" s="149">
        <f t="shared" si="0"/>
        <v>0.2195</v>
      </c>
      <c r="G9" s="159">
        <f>IF('2026'!F9="","",'2026'!F9)</f>
        <v>439</v>
      </c>
      <c r="H9" s="35">
        <f>IF('2026'!G9="","",'2026'!G9)</f>
        <v>275</v>
      </c>
      <c r="I9" s="23">
        <f>IF('2026'!H9="","",'2026'!H9)</f>
        <v>266.75</v>
      </c>
      <c r="J9" s="24">
        <f>IF('2026'!I9="","",'2026'!I9)</f>
        <v>261.25</v>
      </c>
      <c r="K9" s="25">
        <f>IF('2026'!J9="","",'2026'!J9)</f>
        <v>258.5</v>
      </c>
    </row>
    <row r="10" spans="1:11" x14ac:dyDescent="0.2">
      <c r="A10" s="57" t="str">
        <f>IF('2026'!B10="","",'2026'!B10)</f>
        <v>B6</v>
      </c>
      <c r="B10" s="239" t="str">
        <f>IF('2026'!C10="","",'2026'!C10)</f>
        <v/>
      </c>
      <c r="C10" s="195" t="str">
        <f>IF('2026'!D10="","",'2026'!D10)</f>
        <v>Colorado River Boulders</v>
      </c>
      <c r="D10" s="290"/>
      <c r="E10" s="57" t="str">
        <f>IF('2026'!E10="","",'2026'!E10)</f>
        <v>ton</v>
      </c>
      <c r="F10" s="149">
        <f t="shared" si="0"/>
        <v>0.30549999999999999</v>
      </c>
      <c r="G10" s="159">
        <f>IF('2026'!F10="","",'2026'!F10)</f>
        <v>611</v>
      </c>
      <c r="H10" s="35">
        <f>IF('2026'!G10="","",'2026'!G10)</f>
        <v>382</v>
      </c>
      <c r="I10" s="23">
        <f>IF('2026'!H10="","",'2026'!H10)</f>
        <v>370.53999999999996</v>
      </c>
      <c r="J10" s="24">
        <f>IF('2026'!I10="","",'2026'!I10)</f>
        <v>362.9</v>
      </c>
      <c r="K10" s="25">
        <f>IF('2026'!J10="","",'2026'!J10)</f>
        <v>359.08</v>
      </c>
    </row>
    <row r="11" spans="1:11" x14ac:dyDescent="0.2">
      <c r="A11" s="57" t="str">
        <f>IF('2026'!B11="","",'2026'!B11)</f>
        <v>B7</v>
      </c>
      <c r="B11" s="239" t="str">
        <f>IF('2026'!C11="","",'2026'!C11)</f>
        <v/>
      </c>
      <c r="C11" s="195" t="str">
        <f>IF('2026'!D11="","",'2026'!D11)</f>
        <v>Starlight Boulders</v>
      </c>
      <c r="D11" s="291"/>
      <c r="E11" s="57" t="str">
        <f>IF('2026'!E11="","",'2026'!E11)</f>
        <v>ton</v>
      </c>
      <c r="F11" s="149">
        <f t="shared" ref="F11" si="1">G11/2000</f>
        <v>0.29299999999999998</v>
      </c>
      <c r="G11" s="159">
        <f>IF('2026'!F11="","",'2026'!F11)</f>
        <v>586</v>
      </c>
      <c r="H11" s="191"/>
      <c r="I11" s="192"/>
      <c r="J11" s="193"/>
      <c r="K11" s="194"/>
    </row>
    <row r="12" spans="1:11" x14ac:dyDescent="0.2">
      <c r="A12" s="20"/>
      <c r="B12" s="49"/>
      <c r="C12" s="2" t="s">
        <v>20</v>
      </c>
      <c r="D12" s="20"/>
      <c r="E12" s="14"/>
      <c r="F12" s="14"/>
      <c r="G12" s="14"/>
      <c r="H12" s="48"/>
      <c r="I12" s="48"/>
      <c r="J12" s="48"/>
      <c r="K12" s="48"/>
    </row>
    <row r="13" spans="1:11" x14ac:dyDescent="0.2">
      <c r="A13" s="57">
        <f>IF('2026'!B13="","",'2026'!B13)</f>
        <v>1</v>
      </c>
      <c r="B13" s="239" t="str">
        <f>IF('2026'!C13="","",'2026'!C13)</f>
        <v/>
      </c>
      <c r="C13" s="139" t="str">
        <f>IF('2026'!D13="","",'2026'!D13)</f>
        <v>Lanavac Gray Edging</v>
      </c>
      <c r="D13" s="147" t="s">
        <v>437</v>
      </c>
      <c r="E13" s="57" t="str">
        <f>IF('2026'!E13="","",'2026'!E13)</f>
        <v>ton</v>
      </c>
      <c r="F13" s="149">
        <f t="shared" si="0"/>
        <v>0.255</v>
      </c>
      <c r="G13" s="159">
        <f>IF('2026'!F13="","",'2026'!F13)</f>
        <v>510</v>
      </c>
      <c r="H13" s="35">
        <f>IF('2026'!G13="","",'2026'!G13)</f>
        <v>393</v>
      </c>
      <c r="I13" s="23">
        <f>IF('2026'!H13="","",'2026'!H13)</f>
        <v>381.21</v>
      </c>
      <c r="J13" s="24">
        <f>IF('2026'!I13="","",'2026'!I13)</f>
        <v>373.34999999999997</v>
      </c>
      <c r="K13" s="25">
        <f>IF('2026'!J13="","",'2026'!J13)</f>
        <v>369.41999999999996</v>
      </c>
    </row>
    <row r="14" spans="1:11" x14ac:dyDescent="0.2">
      <c r="A14" s="57">
        <f>IF('2026'!B14="","",'2026'!B14)</f>
        <v>2</v>
      </c>
      <c r="B14" s="239" t="str">
        <f>IF('2026'!C14="","",'2026'!C14)</f>
        <v/>
      </c>
      <c r="C14" s="139" t="str">
        <f>IF('2026'!D14="","",'2026'!D14)</f>
        <v>Blue-Brown Edging</v>
      </c>
      <c r="D14" s="147" t="s">
        <v>437</v>
      </c>
      <c r="E14" s="57" t="str">
        <f>IF('2026'!E14="","",'2026'!E14)</f>
        <v>ton</v>
      </c>
      <c r="F14" s="149">
        <f t="shared" si="0"/>
        <v>0.2505</v>
      </c>
      <c r="G14" s="159">
        <f>IF('2026'!F14="","",'2026'!F14)</f>
        <v>501</v>
      </c>
      <c r="H14" s="35">
        <f>IF('2026'!G14="","",'2026'!G14)</f>
        <v>386</v>
      </c>
      <c r="I14" s="23">
        <f>IF('2026'!H14="","",'2026'!H14)</f>
        <v>374.42</v>
      </c>
      <c r="J14" s="24">
        <f>IF('2026'!I14="","",'2026'!I14)</f>
        <v>366.7</v>
      </c>
      <c r="K14" s="25">
        <f>IF('2026'!J14="","",'2026'!J14)</f>
        <v>362.84</v>
      </c>
    </row>
    <row r="15" spans="1:11" x14ac:dyDescent="0.2">
      <c r="A15" s="57">
        <f>IF('2026'!B15="","",'2026'!B15)</f>
        <v>3</v>
      </c>
      <c r="B15" s="239" t="str">
        <f>IF('2026'!C15="","",'2026'!C15)</f>
        <v/>
      </c>
      <c r="C15" s="139" t="str">
        <f>IF('2026'!D15="","",'2026'!D15)</f>
        <v>BHR Tumbled Edging</v>
      </c>
      <c r="D15" s="147" t="s">
        <v>437</v>
      </c>
      <c r="E15" s="57" t="str">
        <f>IF('2026'!E15="","",'2026'!E15)</f>
        <v>ton</v>
      </c>
      <c r="F15" s="149">
        <f t="shared" si="0"/>
        <v>0.32250000000000001</v>
      </c>
      <c r="G15" s="159">
        <f>IF('2026'!F15="","",'2026'!F15)</f>
        <v>645</v>
      </c>
      <c r="H15" s="35"/>
      <c r="I15" s="23"/>
      <c r="J15" s="24"/>
      <c r="K15" s="25"/>
    </row>
    <row r="16" spans="1:11" x14ac:dyDescent="0.2">
      <c r="A16" s="57">
        <f>IF('2026'!B16="","",'2026'!B16)</f>
        <v>4</v>
      </c>
      <c r="B16" s="239" t="str">
        <f>IF('2026'!C16="","",'2026'!C16)</f>
        <v/>
      </c>
      <c r="C16" s="139" t="str">
        <f>IF('2026'!D16="","",'2026'!D16)</f>
        <v>Blackhills Rustic Edging</v>
      </c>
      <c r="D16" s="147" t="s">
        <v>437</v>
      </c>
      <c r="E16" s="57" t="str">
        <f>IF('2026'!E16="","",'2026'!E16)</f>
        <v>ton</v>
      </c>
      <c r="F16" s="149">
        <f t="shared" si="0"/>
        <v>0.25950000000000001</v>
      </c>
      <c r="G16" s="159">
        <f>IF('2026'!F16="","",'2026'!F16)</f>
        <v>519</v>
      </c>
      <c r="H16" s="35">
        <f>IF('2026'!G16="","",'2026'!G16)</f>
        <v>400</v>
      </c>
      <c r="I16" s="23">
        <f>IF('2026'!H16="","",'2026'!H16)</f>
        <v>388</v>
      </c>
      <c r="J16" s="24">
        <f>IF('2026'!I16="","",'2026'!I16)</f>
        <v>380</v>
      </c>
      <c r="K16" s="25">
        <f>IF('2026'!J16="","",'2026'!J16)</f>
        <v>376</v>
      </c>
    </row>
    <row r="17" spans="1:11" x14ac:dyDescent="0.2">
      <c r="A17" s="12">
        <f>IF('2026'!B17="","",'2026'!B17)</f>
        <v>5</v>
      </c>
      <c r="B17" s="249" t="str">
        <f>IF('2026'!C17="","",'2026'!C17)</f>
        <v/>
      </c>
      <c r="C17" s="69" t="str">
        <f>IF('2026'!D17="","",'2026'!D17)</f>
        <v>Longhorn Ridge 4x4 Edging</v>
      </c>
      <c r="D17" s="250" t="s">
        <v>437</v>
      </c>
      <c r="E17" s="12" t="str">
        <f>IF('2026'!E17="","",'2026'!E17)</f>
        <v>ton</v>
      </c>
      <c r="F17" s="251">
        <f t="shared" si="0"/>
        <v>0.249</v>
      </c>
      <c r="G17" s="159">
        <f>IF('2026'!F17="","",'2026'!F17)</f>
        <v>498</v>
      </c>
      <c r="H17" s="35">
        <f>IF('2026'!G17="","",'2026'!G17)</f>
        <v>384</v>
      </c>
      <c r="I17" s="23">
        <f>IF('2026'!H17="","",'2026'!H17)</f>
        <v>372.48</v>
      </c>
      <c r="J17" s="24">
        <f>IF('2026'!I17="","",'2026'!I17)</f>
        <v>364.79999999999995</v>
      </c>
      <c r="K17" s="25">
        <f>IF('2026'!J17="","",'2026'!J17)</f>
        <v>360.96</v>
      </c>
    </row>
    <row r="18" spans="1:11" x14ac:dyDescent="0.2">
      <c r="A18" s="12">
        <f>IF('2026'!B18="","",'2026'!B18)</f>
        <v>6</v>
      </c>
      <c r="B18" s="249" t="str">
        <f>IF('2026'!C18="","",'2026'!C18)</f>
        <v/>
      </c>
      <c r="C18" s="69" t="str">
        <f>IF('2026'!D18="","",'2026'!D18)</f>
        <v>Silverdale 3.5"x4"</v>
      </c>
      <c r="D18" s="250" t="s">
        <v>437</v>
      </c>
      <c r="E18" s="12" t="str">
        <f>IF('2026'!E18="","",'2026'!E18)</f>
        <v>ton</v>
      </c>
      <c r="F18" s="251">
        <f t="shared" si="0"/>
        <v>0.36099999999999999</v>
      </c>
      <c r="G18" s="159">
        <f>IF('2026'!F18="","",'2026'!F18)</f>
        <v>722</v>
      </c>
      <c r="H18" s="35">
        <f>IF('2026'!G18="","",'2026'!G18)</f>
        <v>488</v>
      </c>
      <c r="I18" s="23">
        <f>IF('2026'!H18="","",'2026'!H18)</f>
        <v>473.36</v>
      </c>
      <c r="J18" s="24">
        <f>IF('2026'!I18="","",'2026'!I18)</f>
        <v>463.59999999999997</v>
      </c>
      <c r="K18" s="25">
        <f>IF('2026'!J18="","",'2026'!J18)</f>
        <v>458.71999999999997</v>
      </c>
    </row>
    <row r="19" spans="1:11" x14ac:dyDescent="0.2">
      <c r="A19" s="12">
        <f>IF('2026'!B19="","",'2026'!B19)</f>
        <v>7</v>
      </c>
      <c r="B19" s="249" t="str">
        <f>IF('2026'!C19="","",'2026'!C19)</f>
        <v/>
      </c>
      <c r="C19" s="69" t="str">
        <f>IF('2026'!D19="","",'2026'!D19)</f>
        <v>Cottonwood Tumbled 3.5"x4"</v>
      </c>
      <c r="D19" s="250" t="s">
        <v>437</v>
      </c>
      <c r="E19" s="12" t="str">
        <f>IF('2026'!E19="","",'2026'!E19)</f>
        <v>ton</v>
      </c>
      <c r="F19" s="251">
        <f t="shared" si="0"/>
        <v>0.36699999999999999</v>
      </c>
      <c r="G19" s="159">
        <f>IF('2026'!F19="","",'2026'!F19)</f>
        <v>734</v>
      </c>
      <c r="H19" s="35">
        <f>IF('2026'!G19="","",'2026'!G19)</f>
        <v>496</v>
      </c>
      <c r="I19" s="23">
        <f>IF('2026'!H19="","",'2026'!H19)</f>
        <v>481.12</v>
      </c>
      <c r="J19" s="24">
        <f>IF('2026'!I19="","",'2026'!I19)</f>
        <v>471.2</v>
      </c>
      <c r="K19" s="25">
        <f>IF('2026'!J19="","",'2026'!J19)</f>
        <v>466.23999999999995</v>
      </c>
    </row>
    <row r="20" spans="1:11" x14ac:dyDescent="0.2">
      <c r="A20" s="12">
        <f>IF('2026'!B20="","",'2026'!B20)</f>
        <v>8</v>
      </c>
      <c r="B20" s="249" t="str">
        <f>IF('2026'!C20="","",'2026'!C20)</f>
        <v/>
      </c>
      <c r="C20" s="69" t="str">
        <f>IF('2026'!D20="","",'2026'!D20)</f>
        <v>Gray Variegated 3.5"x4"</v>
      </c>
      <c r="D20" s="250" t="s">
        <v>437</v>
      </c>
      <c r="E20" s="12" t="s">
        <v>14</v>
      </c>
      <c r="F20" s="251">
        <f t="shared" si="0"/>
        <v>0.3775</v>
      </c>
      <c r="G20" s="159">
        <f>IF('2026'!F20="","",'2026'!F20)</f>
        <v>755</v>
      </c>
      <c r="H20" s="35">
        <f>IF('2026'!G20="","",'2026'!G20)</f>
        <v>524</v>
      </c>
      <c r="I20" s="23">
        <f>IF('2026'!H20="","",'2026'!H20)</f>
        <v>508.28</v>
      </c>
      <c r="J20" s="24">
        <f>IF('2026'!I20="","",'2026'!I20)</f>
        <v>497.79999999999995</v>
      </c>
      <c r="K20" s="25">
        <f>IF('2026'!J20="","",'2026'!J20)</f>
        <v>492.55999999999995</v>
      </c>
    </row>
    <row r="21" spans="1:11" x14ac:dyDescent="0.2">
      <c r="A21" s="12">
        <f>IF('2026'!B21="","",'2026'!B21)</f>
        <v>9</v>
      </c>
      <c r="B21" s="249" t="str">
        <f>IF('2026'!C21="","",'2026'!C21)</f>
        <v/>
      </c>
      <c r="C21" s="69" t="str">
        <f>IF('2026'!D21="","",'2026'!D21)</f>
        <v>Kansas Cream Edging</v>
      </c>
      <c r="D21" s="250" t="s">
        <v>437</v>
      </c>
      <c r="E21" s="12" t="str">
        <f>IF('2026'!E21="","",'2026'!E21)</f>
        <v>ton</v>
      </c>
      <c r="F21" s="251">
        <f t="shared" si="0"/>
        <v>0.36299999999999999</v>
      </c>
      <c r="G21" s="159">
        <f>IF('2026'!F21="","",'2026'!F21)</f>
        <v>726</v>
      </c>
      <c r="H21" s="35">
        <f>IF('2026'!G21="","",'2026'!G21)</f>
        <v>490</v>
      </c>
      <c r="I21" s="23">
        <f>IF('2026'!H21="","",'2026'!H21)</f>
        <v>475.3</v>
      </c>
      <c r="J21" s="24">
        <f>IF('2026'!I21="","",'2026'!I21)</f>
        <v>465.5</v>
      </c>
      <c r="K21" s="25">
        <f>IF('2026'!J21="","",'2026'!J21)</f>
        <v>460.59999999999997</v>
      </c>
    </row>
    <row r="22" spans="1:11" x14ac:dyDescent="0.2">
      <c r="A22" s="20"/>
      <c r="B22" s="49"/>
      <c r="C22" s="2" t="s">
        <v>28</v>
      </c>
      <c r="D22" s="20"/>
      <c r="E22" s="14"/>
      <c r="F22" s="14"/>
      <c r="G22" s="14"/>
      <c r="H22" s="48"/>
      <c r="I22" s="48"/>
      <c r="J22" s="48"/>
      <c r="K22" s="48"/>
    </row>
    <row r="23" spans="1:11" x14ac:dyDescent="0.2">
      <c r="A23" s="57" t="str">
        <f>IF('2026'!B23="","",'2026'!B23)</f>
        <v/>
      </c>
      <c r="B23" s="239" t="str">
        <f>IF('2026'!C23="","",'2026'!C23)</f>
        <v/>
      </c>
      <c r="C23" s="139" t="str">
        <f>IF('2026'!D23="","",'2026'!D23)</f>
        <v>Polished Mexican Beach Pebbles (bagged)</v>
      </c>
      <c r="D23" s="146" t="s">
        <v>787</v>
      </c>
      <c r="E23" s="57" t="str">
        <f>IF('2026'!E23="","",'2026'!E23)</f>
        <v>bag</v>
      </c>
      <c r="F23" s="149"/>
      <c r="G23" s="159">
        <f>IF('2026'!F23="","",'2026'!F23)</f>
        <v>50</v>
      </c>
      <c r="H23" s="35">
        <f>IF('2026'!G23="","",'2026'!G23)</f>
        <v>37</v>
      </c>
      <c r="I23" s="23">
        <f>IF('2026'!H23="","",'2026'!H23)</f>
        <v>35.89</v>
      </c>
      <c r="J23" s="24">
        <f>IF('2026'!I23="","",'2026'!I23)</f>
        <v>35.15</v>
      </c>
      <c r="K23" s="25">
        <f>IF('2026'!J23="","",'2026'!J23)</f>
        <v>34.78</v>
      </c>
    </row>
    <row r="24" spans="1:11" x14ac:dyDescent="0.2">
      <c r="A24" s="57">
        <f>IF('2026'!B24="","",'2026'!B24)</f>
        <v>10</v>
      </c>
      <c r="B24" s="239" t="str">
        <f>IF('2026'!C24="","",'2026'!C24)</f>
        <v/>
      </c>
      <c r="C24" s="139" t="str">
        <f>IF('2026'!D24="","",'2026'!D24)</f>
        <v>Mexican Beach Pebbles</v>
      </c>
      <c r="D24" s="146"/>
      <c r="E24" s="57" t="str">
        <f>IF('2026'!E24="","",'2026'!E24)</f>
        <v>ton</v>
      </c>
      <c r="F24" s="149">
        <f t="shared" si="0"/>
        <v>0.48399999999999999</v>
      </c>
      <c r="G24" s="159">
        <f>IF('2026'!F24="","",'2026'!F24)</f>
        <v>968</v>
      </c>
      <c r="H24" s="35">
        <f>IF('2026'!G24="","",'2026'!G24)</f>
        <v>692</v>
      </c>
      <c r="I24" s="23">
        <f>IF('2026'!H24="","",'2026'!H24)</f>
        <v>671.24</v>
      </c>
      <c r="J24" s="24">
        <f>IF('2026'!I24="","",'2026'!I24)</f>
        <v>657.4</v>
      </c>
      <c r="K24" s="25">
        <f>IF('2026'!J24="","",'2026'!J24)</f>
        <v>650.48</v>
      </c>
    </row>
    <row r="25" spans="1:11" x14ac:dyDescent="0.2">
      <c r="A25" s="57">
        <f>IF('2026'!B25="","",'2026'!B25)</f>
        <v>11</v>
      </c>
      <c r="B25" s="239" t="str">
        <f>IF('2026'!C25="","",'2026'!C25)</f>
        <v/>
      </c>
      <c r="C25" s="139" t="str">
        <f>IF('2026'!D25="","",'2026'!D25)</f>
        <v>Kewanee Creek Flats 1-2" x 4-7"</v>
      </c>
      <c r="D25" s="146"/>
      <c r="E25" s="57" t="str">
        <f>IF('2026'!E25="","",'2026'!E25)</f>
        <v>ton</v>
      </c>
      <c r="F25" s="149">
        <f t="shared" si="0"/>
        <v>0.44550000000000001</v>
      </c>
      <c r="G25" s="159">
        <f>IF('2026'!F25="","",'2026'!F25)</f>
        <v>891</v>
      </c>
      <c r="H25" s="35">
        <f>IF('2026'!G25="","",'2026'!G25)</f>
        <v>638</v>
      </c>
      <c r="I25" s="23">
        <f>IF('2026'!H25="","",'2026'!H25)</f>
        <v>618.86</v>
      </c>
      <c r="J25" s="24">
        <f>IF('2026'!I25="","",'2026'!I25)</f>
        <v>606.1</v>
      </c>
      <c r="K25" s="25">
        <f>IF('2026'!J25="","",'2026'!J25)</f>
        <v>599.71999999999991</v>
      </c>
    </row>
    <row r="26" spans="1:11" x14ac:dyDescent="0.2">
      <c r="A26" s="57">
        <f>IF('2026'!B26="","",'2026'!B26)</f>
        <v>12</v>
      </c>
      <c r="B26" s="239" t="str">
        <f>IF('2026'!C26="","",'2026'!C26)</f>
        <v/>
      </c>
      <c r="C26" s="139" t="str">
        <f>IF('2026'!D26="","",'2026'!D26)</f>
        <v>Kewanee Creek Flats 1-3" x 4-12"</v>
      </c>
      <c r="D26" s="146"/>
      <c r="E26" s="57" t="str">
        <f>IF('2026'!E26="","",'2026'!E26)</f>
        <v>ton</v>
      </c>
      <c r="F26" s="149">
        <f t="shared" si="0"/>
        <v>0.39650000000000002</v>
      </c>
      <c r="G26" s="159">
        <f>IF('2026'!F26="","",'2026'!F26)</f>
        <v>793</v>
      </c>
      <c r="H26" s="35">
        <f>IF('2026'!G26="","",'2026'!G26)</f>
        <v>568</v>
      </c>
      <c r="I26" s="23">
        <f>IF('2026'!H26="","",'2026'!H26)</f>
        <v>550.96</v>
      </c>
      <c r="J26" s="24">
        <f>IF('2026'!I26="","",'2026'!I26)</f>
        <v>539.6</v>
      </c>
      <c r="K26" s="25">
        <f>IF('2026'!J26="","",'2026'!J26)</f>
        <v>533.91999999999996</v>
      </c>
    </row>
    <row r="27" spans="1:11" x14ac:dyDescent="0.2">
      <c r="A27" s="57">
        <f>IF('2026'!B27="","",'2026'!B27)</f>
        <v>13</v>
      </c>
      <c r="B27" s="239" t="str">
        <f>IF('2026'!C27="","",'2026'!C27)</f>
        <v/>
      </c>
      <c r="C27" s="139" t="str">
        <f>IF('2026'!D27="","",'2026'!D27)</f>
        <v>Mini Moss Boulders</v>
      </c>
      <c r="D27" s="146"/>
      <c r="E27" s="57" t="str">
        <f>IF('2026'!E27="","",'2026'!E27)</f>
        <v>ton</v>
      </c>
      <c r="F27" s="149">
        <f t="shared" si="0"/>
        <v>0.21299999999999999</v>
      </c>
      <c r="G27" s="159">
        <f>IF('2026'!F27="","",'2026'!F27)</f>
        <v>426</v>
      </c>
      <c r="H27" s="35">
        <f>IF('2026'!G27="","",'2026'!G27)</f>
        <v>305</v>
      </c>
      <c r="I27" s="23">
        <f>IF('2026'!H27="","",'2026'!H27)</f>
        <v>295.84999999999997</v>
      </c>
      <c r="J27" s="24">
        <f>IF('2026'!I27="","",'2026'!I27)</f>
        <v>289.75</v>
      </c>
      <c r="K27" s="25">
        <f>IF('2026'!J27="","",'2026'!J27)</f>
        <v>286.7</v>
      </c>
    </row>
    <row r="28" spans="1:11" x14ac:dyDescent="0.2">
      <c r="A28" s="57">
        <f>IF('2026'!B28="","",'2026'!B28)</f>
        <v>14</v>
      </c>
      <c r="B28" s="239" t="str">
        <f>IF('2026'!C28="","",'2026'!C28)</f>
        <v/>
      </c>
      <c r="C28" s="139" t="str">
        <f>IF('2026'!D28="","",'2026'!D28)</f>
        <v>Cobalt Black Granite Cobbles 2-8"</v>
      </c>
      <c r="D28" s="146"/>
      <c r="E28" s="57" t="str">
        <f>IF('2026'!E28="","",'2026'!E28)</f>
        <v>ton</v>
      </c>
      <c r="F28" s="149">
        <f t="shared" si="0"/>
        <v>0.41649999999999998</v>
      </c>
      <c r="G28" s="159">
        <f>IF('2026'!F28="","",'2026'!F28)</f>
        <v>833</v>
      </c>
      <c r="H28" s="35">
        <f>IF('2026'!G28="","",'2026'!G28)</f>
        <v>595</v>
      </c>
      <c r="I28" s="23">
        <f>IF('2026'!H28="","",'2026'!H28)</f>
        <v>577.15</v>
      </c>
      <c r="J28" s="24">
        <f>IF('2026'!I28="","",'2026'!I28)</f>
        <v>565.25</v>
      </c>
      <c r="K28" s="25">
        <f>IF('2026'!J28="","",'2026'!J28)</f>
        <v>559.29999999999995</v>
      </c>
    </row>
    <row r="29" spans="1:11" x14ac:dyDescent="0.2">
      <c r="A29" s="57">
        <f>IF('2026'!B29="","",'2026'!B29)</f>
        <v>15</v>
      </c>
      <c r="B29" s="239" t="str">
        <f>IF('2026'!C29="","",'2026'!C29)</f>
        <v/>
      </c>
      <c r="C29" s="139" t="str">
        <f>IF('2026'!D29="","",'2026'!D29)</f>
        <v>Mesa Grey</v>
      </c>
      <c r="D29" s="146"/>
      <c r="E29" s="57" t="str">
        <f>IF('2026'!E29="","",'2026'!E29)</f>
        <v>ton</v>
      </c>
      <c r="F29" s="149">
        <f t="shared" si="0"/>
        <v>0.32650000000000001</v>
      </c>
      <c r="G29" s="159">
        <f>IF('2026'!F29="","",'2026'!F29)</f>
        <v>653</v>
      </c>
      <c r="H29" s="35">
        <f>IF('2026'!G29="","",'2026'!G29)</f>
        <v>344</v>
      </c>
      <c r="I29" s="23">
        <f>IF('2026'!H29="","",'2026'!H29)</f>
        <v>333.68</v>
      </c>
      <c r="J29" s="24">
        <f>IF('2026'!I29="","",'2026'!I29)</f>
        <v>326.8</v>
      </c>
      <c r="K29" s="25">
        <f>IF('2026'!J29="","",'2026'!J29)</f>
        <v>323.35999999999996</v>
      </c>
    </row>
    <row r="30" spans="1:11" x14ac:dyDescent="0.2">
      <c r="A30" s="20"/>
      <c r="B30" s="49"/>
      <c r="C30" s="2" t="s">
        <v>34</v>
      </c>
      <c r="D30" s="20"/>
      <c r="E30" s="14"/>
      <c r="F30" s="14"/>
      <c r="G30" s="14"/>
      <c r="H30" s="48"/>
      <c r="I30" s="48"/>
      <c r="J30" s="48"/>
      <c r="K30" s="48"/>
    </row>
    <row r="31" spans="1:11" x14ac:dyDescent="0.2">
      <c r="A31" s="57">
        <f>IF('2026'!B31="","",'2026'!B31)</f>
        <v>16</v>
      </c>
      <c r="B31" s="239" t="str">
        <f>IF('2026'!C31="","",'2026'!C31)</f>
        <v/>
      </c>
      <c r="C31" s="139" t="str">
        <f>IF('2026'!D31="","",'2026'!D31)</f>
        <v>Longhorn Ridge 4x6 Chop</v>
      </c>
      <c r="D31" s="146" t="s">
        <v>361</v>
      </c>
      <c r="E31" s="57" t="str">
        <f>IF('2026'!E31="","",'2026'!E31)</f>
        <v>ton</v>
      </c>
      <c r="F31" s="149">
        <f t="shared" ref="F31:F40" si="2">G31/2000</f>
        <v>0.22800000000000001</v>
      </c>
      <c r="G31" s="159">
        <f>IF('2026'!F31="","",'2026'!F31)</f>
        <v>456</v>
      </c>
      <c r="H31" s="35">
        <f>IF('2026'!G31="","",'2026'!G31)</f>
        <v>339</v>
      </c>
      <c r="I31" s="23">
        <f>IF('2026'!H31="","",'2026'!H31)</f>
        <v>328.83</v>
      </c>
      <c r="J31" s="24">
        <f>IF('2026'!I31="","",'2026'!I31)</f>
        <v>322.05</v>
      </c>
      <c r="K31" s="25">
        <f>IF('2026'!J31="","",'2026'!J31)</f>
        <v>318.65999999999997</v>
      </c>
    </row>
    <row r="32" spans="1:11" x14ac:dyDescent="0.2">
      <c r="A32" s="57">
        <f>IF('2026'!B32="","",'2026'!B32)</f>
        <v>17</v>
      </c>
      <c r="B32" s="239" t="str">
        <f>IF('2026'!C32="","",'2026'!C32)</f>
        <v/>
      </c>
      <c r="C32" s="139" t="str">
        <f>IF('2026'!D32="","",'2026'!D32)</f>
        <v>Weathered Fieldstone</v>
      </c>
      <c r="D32" s="146" t="s">
        <v>362</v>
      </c>
      <c r="E32" s="57" t="str">
        <f>IF('2026'!E32="","",'2026'!E32)</f>
        <v>ton</v>
      </c>
      <c r="F32" s="149">
        <f t="shared" si="2"/>
        <v>0.245</v>
      </c>
      <c r="G32" s="159">
        <f>IF('2026'!F32="","",'2026'!F32)</f>
        <v>490</v>
      </c>
      <c r="H32" s="35">
        <f>IF('2026'!G32="","",'2026'!G32)</f>
        <v>350</v>
      </c>
      <c r="I32" s="23">
        <f>IF('2026'!H32="","",'2026'!H32)</f>
        <v>339.5</v>
      </c>
      <c r="J32" s="24">
        <f>IF('2026'!I32="","",'2026'!I32)</f>
        <v>332.5</v>
      </c>
      <c r="K32" s="25">
        <f>IF('2026'!J32="","",'2026'!J32)</f>
        <v>329</v>
      </c>
    </row>
    <row r="33" spans="1:11" x14ac:dyDescent="0.2">
      <c r="A33" s="12">
        <f>IF('2026'!B33="","",'2026'!B33)</f>
        <v>18</v>
      </c>
      <c r="B33" s="249" t="str">
        <f>IF('2026'!C33="","",'2026'!C33)</f>
        <v/>
      </c>
      <c r="C33" s="69" t="str">
        <f>IF('2026'!D33="","",'2026'!D33)</f>
        <v>Kansas Fieldstone</v>
      </c>
      <c r="D33" s="252" t="s">
        <v>362</v>
      </c>
      <c r="E33" s="12" t="str">
        <f>IF('2026'!E33="","",'2026'!E33)</f>
        <v>ton</v>
      </c>
      <c r="F33" s="251">
        <f t="shared" si="2"/>
        <v>0.222</v>
      </c>
      <c r="G33" s="159">
        <f>IF('2026'!F33="","",'2026'!F33)</f>
        <v>444</v>
      </c>
      <c r="H33" s="35">
        <f>IF('2026'!G33="","",'2026'!G33)</f>
        <v>319</v>
      </c>
      <c r="I33" s="23">
        <f>IF('2026'!H33="","",'2026'!H33)</f>
        <v>309.43</v>
      </c>
      <c r="J33" s="24">
        <f>IF('2026'!I33="","",'2026'!I33)</f>
        <v>303.05</v>
      </c>
      <c r="K33" s="25">
        <f>IF('2026'!J33="","",'2026'!J33)</f>
        <v>299.85999999999996</v>
      </c>
    </row>
    <row r="34" spans="1:11" x14ac:dyDescent="0.2">
      <c r="A34" s="12">
        <f>IF('2026'!B34="","",'2026'!B34)</f>
        <v>19</v>
      </c>
      <c r="B34" s="249" t="str">
        <f>IF('2026'!C34="","",'2026'!C34)</f>
        <v/>
      </c>
      <c r="C34" s="69" t="str">
        <f>IF('2026'!D34="","",'2026'!D34)</f>
        <v>EW Gold Random Wall</v>
      </c>
      <c r="D34" s="252" t="s">
        <v>362</v>
      </c>
      <c r="E34" s="12" t="str">
        <f>IF('2026'!E34="","",'2026'!E34)</f>
        <v>ton</v>
      </c>
      <c r="F34" s="251">
        <f t="shared" si="2"/>
        <v>0.24299999999999999</v>
      </c>
      <c r="G34" s="159">
        <f>IF('2026'!F34="","",'2026'!F34)</f>
        <v>486</v>
      </c>
      <c r="H34" s="35">
        <f>IF('2026'!G34="","",'2026'!G34)</f>
        <v>347</v>
      </c>
      <c r="I34" s="23">
        <f>IF('2026'!H34="","",'2026'!H34)</f>
        <v>336.59</v>
      </c>
      <c r="J34" s="24">
        <f>IF('2026'!I34="","",'2026'!I34)</f>
        <v>329.65</v>
      </c>
      <c r="K34" s="25">
        <f>IF('2026'!J34="","",'2026'!J34)</f>
        <v>326.18</v>
      </c>
    </row>
    <row r="35" spans="1:11" x14ac:dyDescent="0.2">
      <c r="A35" s="12">
        <f>IF('2026'!B35="","",'2026'!B35)</f>
        <v>20</v>
      </c>
      <c r="B35" s="249" t="str">
        <f>IF('2026'!C35="","",'2026'!C35)</f>
        <v/>
      </c>
      <c r="C35" s="69" t="str">
        <f>IF('2026'!D35="","",'2026'!D35)</f>
        <v>Blackhill Rustic Builders</v>
      </c>
      <c r="D35" s="252" t="s">
        <v>363</v>
      </c>
      <c r="E35" s="12" t="str">
        <f>IF('2026'!E35="","",'2026'!E35)</f>
        <v>ton</v>
      </c>
      <c r="F35" s="251">
        <f t="shared" si="2"/>
        <v>0.2495</v>
      </c>
      <c r="G35" s="159">
        <f>IF('2026'!F35="","",'2026'!F35)</f>
        <v>499</v>
      </c>
      <c r="H35" s="35">
        <f>IF('2026'!G35="","",'2026'!G35)</f>
        <v>370</v>
      </c>
      <c r="I35" s="23">
        <f>IF('2026'!H35="","",'2026'!H35)</f>
        <v>358.9</v>
      </c>
      <c r="J35" s="24">
        <f>IF('2026'!I35="","",'2026'!I35)</f>
        <v>351.5</v>
      </c>
      <c r="K35" s="25">
        <f>IF('2026'!J35="","",'2026'!J35)</f>
        <v>347.79999999999995</v>
      </c>
    </row>
    <row r="36" spans="1:11" x14ac:dyDescent="0.2">
      <c r="A36" s="12">
        <f>IF('2026'!B36="","",'2026'!B36)</f>
        <v>21</v>
      </c>
      <c r="B36" s="249" t="str">
        <f>IF('2026'!C36="","",'2026'!C36)</f>
        <v/>
      </c>
      <c r="C36" s="69" t="str">
        <f>IF('2026'!D36="","",'2026'!D36)</f>
        <v>Midwest Gray 6" Chop</v>
      </c>
      <c r="D36" s="252" t="s">
        <v>364</v>
      </c>
      <c r="E36" s="12" t="str">
        <f>IF('2026'!E36="","",'2026'!E36)</f>
        <v>ton</v>
      </c>
      <c r="F36" s="251">
        <f t="shared" si="2"/>
        <v>0.26150000000000001</v>
      </c>
      <c r="G36" s="159">
        <f>IF('2026'!F36="","",'2026'!F36)</f>
        <v>523</v>
      </c>
      <c r="H36" s="35">
        <f>IF('2026'!G36="","",'2026'!G36)</f>
        <v>363</v>
      </c>
      <c r="I36" s="23">
        <f>IF('2026'!H36="","",'2026'!H36)</f>
        <v>352.11</v>
      </c>
      <c r="J36" s="24">
        <f>IF('2026'!I36="","",'2026'!I36)</f>
        <v>344.84999999999997</v>
      </c>
      <c r="K36" s="25">
        <f>IF('2026'!J36="","",'2026'!J36)</f>
        <v>341.21999999999997</v>
      </c>
    </row>
    <row r="37" spans="1:11" hidden="1" x14ac:dyDescent="0.2">
      <c r="A37" s="12" t="str">
        <f>IF('2026'!B37="","",'2026'!B37)</f>
        <v/>
      </c>
      <c r="B37" s="249" t="str">
        <f>IF('2026'!C37="","",'2026'!C37)</f>
        <v/>
      </c>
      <c r="C37" s="69" t="str">
        <f>IF('2026'!D37="","",'2026'!D37)</f>
        <v>Signature Wall</v>
      </c>
      <c r="D37" s="252" t="s">
        <v>364</v>
      </c>
      <c r="E37" s="12" t="str">
        <f>IF('2026'!E37="","",'2026'!E37)</f>
        <v>ton</v>
      </c>
      <c r="F37" s="251">
        <f t="shared" ref="F37" si="3">G37/2000</f>
        <v>0.39100000000000001</v>
      </c>
      <c r="G37" s="159">
        <f>IF('2026'!F37="","",'2026'!F37)</f>
        <v>782</v>
      </c>
      <c r="H37" s="35"/>
      <c r="I37" s="23"/>
      <c r="J37" s="24"/>
      <c r="K37" s="25"/>
    </row>
    <row r="38" spans="1:11" x14ac:dyDescent="0.2">
      <c r="A38" s="12" t="str">
        <f>IF('2026'!B38="","",'2026'!B38)</f>
        <v/>
      </c>
      <c r="B38" s="249" t="str">
        <f>IF('2026'!C38="","",'2026'!C38)</f>
        <v/>
      </c>
      <c r="C38" s="69" t="str">
        <f>IF('2026'!D38="","",'2026'!D38)</f>
        <v>6" Wall Block</v>
      </c>
      <c r="D38" s="252" t="s">
        <v>366</v>
      </c>
      <c r="E38" s="12" t="str">
        <f>IF('2026'!E38="","",'2026'!E38)</f>
        <v>ton</v>
      </c>
      <c r="F38" s="251">
        <f t="shared" si="2"/>
        <v>0.254</v>
      </c>
      <c r="G38" s="159">
        <f>IF('2026'!F38="","",'2026'!F38)</f>
        <v>508</v>
      </c>
      <c r="H38" s="35">
        <f>IF('2026'!G38="","",'2026'!G38)</f>
        <v>320</v>
      </c>
      <c r="I38" s="23">
        <f>IF('2026'!H38="","",'2026'!H38)</f>
        <v>310.39999999999998</v>
      </c>
      <c r="J38" s="24">
        <f>IF('2026'!I38="","",'2026'!I38)</f>
        <v>304</v>
      </c>
      <c r="K38" s="25">
        <f>IF('2026'!J38="","",'2026'!J38)</f>
        <v>300.79999999999995</v>
      </c>
    </row>
    <row r="39" spans="1:11" x14ac:dyDescent="0.2">
      <c r="A39" s="12" t="str">
        <f>IF('2026'!B39="","",'2026'!B39)</f>
        <v/>
      </c>
      <c r="B39" s="249" t="str">
        <f>IF('2026'!C39="","",'2026'!C39)</f>
        <v/>
      </c>
      <c r="C39" s="69" t="str">
        <f>IF('2026'!D39="","",'2026'!D39)</f>
        <v>9" Wall Block</v>
      </c>
      <c r="D39" s="252" t="s">
        <v>365</v>
      </c>
      <c r="E39" s="12" t="str">
        <f>IF('2026'!E39="","",'2026'!E39)</f>
        <v>ton</v>
      </c>
      <c r="F39" s="251">
        <f t="shared" si="2"/>
        <v>0.17749999999999999</v>
      </c>
      <c r="G39" s="159">
        <f>IF('2026'!F39="","",'2026'!F39)</f>
        <v>355</v>
      </c>
      <c r="H39" s="35">
        <f>IF('2026'!G39="","",'2026'!G39)</f>
        <v>245</v>
      </c>
      <c r="I39" s="23">
        <f>IF('2026'!H39="","",'2026'!H39)</f>
        <v>237.65</v>
      </c>
      <c r="J39" s="24">
        <f>IF('2026'!I39="","",'2026'!I39)</f>
        <v>232.75</v>
      </c>
      <c r="K39" s="25">
        <f>IF('2026'!J39="","",'2026'!J39)</f>
        <v>230.29999999999998</v>
      </c>
    </row>
    <row r="40" spans="1:11" x14ac:dyDescent="0.2">
      <c r="A40" s="12" t="str">
        <f>IF('2026'!B40="","",'2026'!B40)</f>
        <v/>
      </c>
      <c r="B40" s="249" t="str">
        <f>IF('2026'!C40="","",'2026'!C40)</f>
        <v/>
      </c>
      <c r="C40" s="69" t="str">
        <f>IF('2026'!D40="","",'2026'!D40)</f>
        <v>14" Wall Block</v>
      </c>
      <c r="D40" s="252" t="s">
        <v>367</v>
      </c>
      <c r="E40" s="12" t="str">
        <f>IF('2026'!E40="","",'2026'!E40)</f>
        <v>ton</v>
      </c>
      <c r="F40" s="251">
        <f t="shared" si="2"/>
        <v>0.15</v>
      </c>
      <c r="G40" s="159">
        <f>IF('2026'!F40="","",'2026'!F40)</f>
        <v>300</v>
      </c>
      <c r="H40" s="35">
        <f>IF('2026'!G40="","",'2026'!G40)</f>
        <v>207</v>
      </c>
      <c r="I40" s="23">
        <f>IF('2026'!H40="","",'2026'!H40)</f>
        <v>200.79</v>
      </c>
      <c r="J40" s="24">
        <f>IF('2026'!I40="","",'2026'!I40)</f>
        <v>196.64999999999998</v>
      </c>
      <c r="K40" s="25">
        <f>IF('2026'!J40="","",'2026'!J40)</f>
        <v>194.57999999999998</v>
      </c>
    </row>
    <row r="41" spans="1:11" x14ac:dyDescent="0.2">
      <c r="A41" s="12" t="str">
        <f>IF('2026'!B41="","",'2026'!B41)</f>
        <v/>
      </c>
      <c r="B41" s="249" t="str">
        <f>IF('2026'!C41="","",'2026'!C41)</f>
        <v/>
      </c>
      <c r="C41" s="69" t="str">
        <f>IF('2026'!D41="","",'2026'!D41)</f>
        <v>18" Wall Block</v>
      </c>
      <c r="D41" s="252" t="s">
        <v>784</v>
      </c>
      <c r="E41" s="12" t="str">
        <f>IF('2026'!E41="","",'2026'!E41)</f>
        <v>ton</v>
      </c>
      <c r="F41" s="251">
        <f t="shared" ref="F41" si="4">G41/2000</f>
        <v>0.158</v>
      </c>
      <c r="G41" s="159">
        <f>IF('2026'!F41="","",'2026'!F41)</f>
        <v>316</v>
      </c>
      <c r="H41" s="35">
        <f>IF('2026'!G41="","",'2026'!G41)</f>
        <v>218</v>
      </c>
      <c r="I41" s="23">
        <f>IF('2026'!H41="","",'2026'!H41)</f>
        <v>211.46</v>
      </c>
      <c r="J41" s="24">
        <f>IF('2026'!I41="","",'2026'!I41)</f>
        <v>207.1</v>
      </c>
      <c r="K41" s="25">
        <f>IF('2026'!J41="","",'2026'!J41)</f>
        <v>204.92</v>
      </c>
    </row>
    <row r="42" spans="1:11" x14ac:dyDescent="0.2">
      <c r="A42" s="57" t="str">
        <f>IF('2026'!B42="","",'2026'!B42)</f>
        <v/>
      </c>
      <c r="B42" s="239" t="str">
        <f>IF('2026'!C42="","",'2026'!C42)</f>
        <v/>
      </c>
      <c r="C42" s="139" t="str">
        <f>IF('2026'!D42="","",'2026'!D42)</f>
        <v>18" Wall Block Bench</v>
      </c>
      <c r="D42" s="146"/>
      <c r="E42" s="57" t="str">
        <f>IF('2026'!E42="","",'2026'!E42)</f>
        <v>each</v>
      </c>
      <c r="F42" s="149"/>
      <c r="G42" s="159">
        <f>IF('2026'!F42="","",'2026'!F42)</f>
        <v>1998</v>
      </c>
      <c r="H42" s="35">
        <f>IF('2026'!G42="","",'2026'!G42)</f>
        <v>1738</v>
      </c>
      <c r="I42" s="23">
        <f>IF('2026'!H42="","",'2026'!H42)</f>
        <v>1685.86</v>
      </c>
      <c r="J42" s="24">
        <f>IF('2026'!I42="","",'2026'!I42)</f>
        <v>1651.1</v>
      </c>
      <c r="K42" s="25">
        <f>IF('2026'!J42="","",'2026'!J42)</f>
        <v>1633.7199999999998</v>
      </c>
    </row>
    <row r="43" spans="1:11" x14ac:dyDescent="0.2">
      <c r="A43" s="20"/>
      <c r="B43" s="49"/>
      <c r="C43" s="2" t="s">
        <v>43</v>
      </c>
      <c r="D43" s="20"/>
      <c r="E43" s="14"/>
      <c r="F43" s="14"/>
      <c r="G43" s="14"/>
      <c r="H43" s="48"/>
      <c r="I43" s="48"/>
      <c r="J43" s="48"/>
      <c r="K43" s="48"/>
    </row>
    <row r="44" spans="1:11" x14ac:dyDescent="0.2">
      <c r="A44" s="12">
        <f>IF('2026'!B44="","",'2026'!B44)</f>
        <v>22</v>
      </c>
      <c r="B44" s="249" t="str">
        <f>IF('2026'!C44="","",'2026'!C44)</f>
        <v/>
      </c>
      <c r="C44" s="69" t="str">
        <f>IF('2026'!D44="","",'2026'!D44)</f>
        <v>Silverdale 3.5"x8"</v>
      </c>
      <c r="D44" s="252" t="s">
        <v>368</v>
      </c>
      <c r="E44" s="12" t="str">
        <f>IF('2026'!E44="","",'2026'!E44)</f>
        <v>ton</v>
      </c>
      <c r="F44" s="251">
        <f t="shared" ref="F44:F49" si="5">G44/2000</f>
        <v>0.3135</v>
      </c>
      <c r="G44" s="159">
        <f>IF('2026'!F44="","",'2026'!F44)</f>
        <v>627</v>
      </c>
      <c r="H44" s="35">
        <f>IF('2026'!G44="","",'2026'!G44)</f>
        <v>418</v>
      </c>
      <c r="I44" s="23">
        <f>IF('2026'!H44="","",'2026'!H44)</f>
        <v>405.46</v>
      </c>
      <c r="J44" s="24">
        <f>IF('2026'!I44="","",'2026'!I44)</f>
        <v>397.09999999999997</v>
      </c>
      <c r="K44" s="25">
        <f>IF('2026'!J44="","",'2026'!J44)</f>
        <v>392.91999999999996</v>
      </c>
    </row>
    <row r="45" spans="1:11" x14ac:dyDescent="0.2">
      <c r="A45" s="12">
        <f>IF('2026'!B45="","",'2026'!B45)</f>
        <v>23</v>
      </c>
      <c r="B45" s="249" t="str">
        <f>IF('2026'!C45="","",'2026'!C45)</f>
        <v/>
      </c>
      <c r="C45" s="69" t="str">
        <f>IF('2026'!D45="","",'2026'!D45)</f>
        <v>Silverdale 5"x9"</v>
      </c>
      <c r="D45" s="252" t="s">
        <v>369</v>
      </c>
      <c r="E45" s="12" t="str">
        <f>IF('2026'!E45="","",'2026'!E45)</f>
        <v>ton</v>
      </c>
      <c r="F45" s="251">
        <f t="shared" si="5"/>
        <v>0.30249999999999999</v>
      </c>
      <c r="G45" s="159">
        <f>IF('2026'!F45="","",'2026'!F45)</f>
        <v>605</v>
      </c>
      <c r="H45" s="35">
        <f>IF('2026'!G45="","",'2026'!G45)</f>
        <v>403</v>
      </c>
      <c r="I45" s="23">
        <f>IF('2026'!H45="","",'2026'!H45)</f>
        <v>390.90999999999997</v>
      </c>
      <c r="J45" s="24">
        <f>IF('2026'!I45="","",'2026'!I45)</f>
        <v>382.84999999999997</v>
      </c>
      <c r="K45" s="25">
        <f>IF('2026'!J45="","",'2026'!J45)</f>
        <v>378.82</v>
      </c>
    </row>
    <row r="46" spans="1:11" x14ac:dyDescent="0.2">
      <c r="A46" s="12">
        <f>IF('2026'!B46="","",'2026'!B46)</f>
        <v>24</v>
      </c>
      <c r="B46" s="249" t="str">
        <f>IF('2026'!C46="","",'2026'!C46)</f>
        <v/>
      </c>
      <c r="C46" s="69" t="str">
        <f>IF('2026'!D46="","",'2026'!D46)</f>
        <v>Cottonwood Tumbled 3.5"x8"</v>
      </c>
      <c r="D46" s="252" t="s">
        <v>368</v>
      </c>
      <c r="E46" s="12" t="str">
        <f>IF('2026'!E46="","",'2026'!E46)</f>
        <v>ton</v>
      </c>
      <c r="F46" s="251">
        <f t="shared" si="5"/>
        <v>0.31950000000000001</v>
      </c>
      <c r="G46" s="159">
        <f>IF('2026'!F46="","",'2026'!F46)</f>
        <v>639</v>
      </c>
      <c r="H46" s="35">
        <f>IF('2026'!G46="","",'2026'!G46)</f>
        <v>426</v>
      </c>
      <c r="I46" s="23">
        <f>IF('2026'!H46="","",'2026'!H46)</f>
        <v>413.21999999999997</v>
      </c>
      <c r="J46" s="24">
        <f>IF('2026'!I46="","",'2026'!I46)</f>
        <v>404.7</v>
      </c>
      <c r="K46" s="25">
        <f>IF('2026'!J46="","",'2026'!J46)</f>
        <v>400.44</v>
      </c>
    </row>
    <row r="47" spans="1:11" x14ac:dyDescent="0.2">
      <c r="A47" s="12">
        <f>IF('2026'!B47="","",'2026'!B47)</f>
        <v>25</v>
      </c>
      <c r="B47" s="249" t="str">
        <f>IF('2026'!C47="","",'2026'!C47)</f>
        <v/>
      </c>
      <c r="C47" s="69" t="str">
        <f>IF('2026'!D47="","",'2026'!D47)</f>
        <v>Cottonwood Tumbled 5"x9"</v>
      </c>
      <c r="D47" s="252" t="s">
        <v>369</v>
      </c>
      <c r="E47" s="12" t="str">
        <f>IF('2026'!E47="","",'2026'!E47)</f>
        <v>ton</v>
      </c>
      <c r="F47" s="251">
        <f t="shared" si="5"/>
        <v>0.3085</v>
      </c>
      <c r="G47" s="159">
        <f>IF('2026'!F47="","",'2026'!F47)</f>
        <v>617</v>
      </c>
      <c r="H47" s="35">
        <f>IF('2026'!G47="","",'2026'!G47)</f>
        <v>411</v>
      </c>
      <c r="I47" s="23">
        <f>IF('2026'!H47="","",'2026'!H47)</f>
        <v>398.67</v>
      </c>
      <c r="J47" s="24">
        <f>IF('2026'!I47="","",'2026'!I47)</f>
        <v>390.45</v>
      </c>
      <c r="K47" s="25">
        <f>IF('2026'!J47="","",'2026'!J47)</f>
        <v>386.34</v>
      </c>
    </row>
    <row r="48" spans="1:11" x14ac:dyDescent="0.2">
      <c r="A48" s="12">
        <f>IF('2026'!B48="","",'2026'!B48)</f>
        <v>26</v>
      </c>
      <c r="B48" s="249" t="str">
        <f>IF('2026'!C48="","",'2026'!C48)</f>
        <v/>
      </c>
      <c r="C48" s="69" t="str">
        <f>IF('2026'!D48="","",'2026'!D48)</f>
        <v>Gray Variegated Tumbled 3.5" x 8"</v>
      </c>
      <c r="D48" s="252" t="s">
        <v>368</v>
      </c>
      <c r="E48" s="12" t="str">
        <f>IF('2026'!E48="","",'2026'!E48)</f>
        <v>ton</v>
      </c>
      <c r="F48" s="251">
        <f t="shared" si="5"/>
        <v>0.34599999999999997</v>
      </c>
      <c r="G48" s="159">
        <f>IF('2026'!F48="","",'2026'!F48)</f>
        <v>692</v>
      </c>
      <c r="H48" s="35">
        <f>IF('2026'!G48="","",'2026'!G48)</f>
        <v>461</v>
      </c>
      <c r="I48" s="23">
        <f>IF('2026'!H48="","",'2026'!H48)</f>
        <v>447.17</v>
      </c>
      <c r="J48" s="24">
        <f>IF('2026'!I48="","",'2026'!I48)</f>
        <v>437.95</v>
      </c>
      <c r="K48" s="25">
        <f>IF('2026'!J48="","",'2026'!J48)</f>
        <v>433.34</v>
      </c>
    </row>
    <row r="49" spans="1:11" x14ac:dyDescent="0.2">
      <c r="A49" s="12">
        <f>IF('2026'!B49="","",'2026'!B49)</f>
        <v>27</v>
      </c>
      <c r="B49" s="249" t="str">
        <f>IF('2026'!C49="","",'2026'!C49)</f>
        <v/>
      </c>
      <c r="C49" s="69" t="str">
        <f>IF('2026'!D49="","",'2026'!D49)</f>
        <v>Gray Variegated Tumbled 5" x 9"</v>
      </c>
      <c r="D49" s="252" t="s">
        <v>369</v>
      </c>
      <c r="E49" s="12" t="str">
        <f>IF('2026'!E49="","",'2026'!E49)</f>
        <v>ton</v>
      </c>
      <c r="F49" s="251">
        <f t="shared" si="5"/>
        <v>0.33500000000000002</v>
      </c>
      <c r="G49" s="159">
        <f>IF('2026'!F49="","",'2026'!F49)</f>
        <v>670</v>
      </c>
      <c r="H49" s="35">
        <f>IF('2026'!G49="","",'2026'!G49)</f>
        <v>447</v>
      </c>
      <c r="I49" s="23">
        <f>IF('2026'!H49="","",'2026'!H49)</f>
        <v>433.59</v>
      </c>
      <c r="J49" s="24">
        <f>IF('2026'!I49="","",'2026'!I49)</f>
        <v>424.65</v>
      </c>
      <c r="K49" s="25">
        <f>IF('2026'!J49="","",'2026'!J49)</f>
        <v>420.17999999999995</v>
      </c>
    </row>
    <row r="50" spans="1:11" x14ac:dyDescent="0.2">
      <c r="A50" s="20"/>
      <c r="B50" s="49"/>
      <c r="C50" s="2" t="s">
        <v>49</v>
      </c>
      <c r="D50" s="20"/>
      <c r="E50" s="14"/>
      <c r="F50" s="14"/>
      <c r="G50" s="14"/>
      <c r="H50" s="48"/>
      <c r="I50" s="48"/>
      <c r="J50" s="48"/>
      <c r="K50" s="48"/>
    </row>
    <row r="51" spans="1:11" x14ac:dyDescent="0.2">
      <c r="A51" s="57">
        <f>IF('2026'!B51="","",'2026'!B51)</f>
        <v>28</v>
      </c>
      <c r="B51" s="239" t="str">
        <f>IF('2026'!C51="","",'2026'!C51)</f>
        <v/>
      </c>
      <c r="C51" s="139" t="str">
        <f>IF('2026'!D51="","",'2026'!D51)</f>
        <v>Blue-Brown 1.5"</v>
      </c>
      <c r="D51" s="146" t="s">
        <v>370</v>
      </c>
      <c r="E51" s="57" t="str">
        <f>IF('2026'!E51="","",'2026'!E51)</f>
        <v>ton</v>
      </c>
      <c r="F51" s="149">
        <f t="shared" ref="F51:F65" si="6">G51/2000</f>
        <v>0.247</v>
      </c>
      <c r="G51" s="159">
        <f>IF('2026'!F51="","",'2026'!F51)</f>
        <v>494</v>
      </c>
      <c r="H51" s="35">
        <f>IF('2026'!G51="","",'2026'!G51)</f>
        <v>353</v>
      </c>
      <c r="I51" s="23">
        <f>IF('2026'!H51="","",'2026'!H51)</f>
        <v>342.40999999999997</v>
      </c>
      <c r="J51" s="24">
        <f>IF('2026'!I51="","",'2026'!I51)</f>
        <v>335.34999999999997</v>
      </c>
      <c r="K51" s="25">
        <f>IF('2026'!J51="","",'2026'!J51)</f>
        <v>331.82</v>
      </c>
    </row>
    <row r="52" spans="1:11" x14ac:dyDescent="0.2">
      <c r="A52" s="57">
        <f>IF('2026'!B52="","",'2026'!B52)</f>
        <v>29</v>
      </c>
      <c r="B52" s="239" t="str">
        <f>IF('2026'!C52="","",'2026'!C52)</f>
        <v/>
      </c>
      <c r="C52" s="139" t="str">
        <f>IF('2026'!D52="","",'2026'!D52)</f>
        <v>Blue-Brown 1.5" Premium</v>
      </c>
      <c r="D52" s="146" t="s">
        <v>370</v>
      </c>
      <c r="E52" s="57" t="str">
        <f>IF('2026'!E52="","",'2026'!E52)</f>
        <v>ton</v>
      </c>
      <c r="F52" s="149">
        <f t="shared" si="6"/>
        <v>0.35049999999999998</v>
      </c>
      <c r="G52" s="159">
        <f>IF('2026'!F52="","",'2026'!F52)</f>
        <v>701</v>
      </c>
      <c r="H52" s="35">
        <f>IF('2026'!G52="","",'2026'!G52)</f>
        <v>501</v>
      </c>
      <c r="I52" s="23">
        <f>IF('2026'!H52="","",'2026'!H52)</f>
        <v>485.96999999999997</v>
      </c>
      <c r="J52" s="24">
        <f>IF('2026'!I52="","",'2026'!I52)</f>
        <v>475.95</v>
      </c>
      <c r="K52" s="25">
        <f>IF('2026'!J52="","",'2026'!J52)</f>
        <v>470.94</v>
      </c>
    </row>
    <row r="53" spans="1:11" x14ac:dyDescent="0.2">
      <c r="A53" s="57">
        <f>IF('2026'!B53="","",'2026'!B53)</f>
        <v>30</v>
      </c>
      <c r="B53" s="239" t="str">
        <f>IF('2026'!C53="","",'2026'!C53)</f>
        <v/>
      </c>
      <c r="C53" s="139" t="str">
        <f>IF('2026'!D53="","",'2026'!D53)</f>
        <v>Blue-Brown 2.5"</v>
      </c>
      <c r="D53" s="146" t="s">
        <v>371</v>
      </c>
      <c r="E53" s="57" t="str">
        <f>IF('2026'!E53="","",'2026'!E53)</f>
        <v>ton</v>
      </c>
      <c r="F53" s="149">
        <f t="shared" si="6"/>
        <v>0.23449999999999999</v>
      </c>
      <c r="G53" s="159">
        <f>IF('2026'!F53="","",'2026'!F53)</f>
        <v>469</v>
      </c>
      <c r="H53" s="35">
        <f>IF('2026'!G53="","",'2026'!G53)</f>
        <v>335</v>
      </c>
      <c r="I53" s="23">
        <f>IF('2026'!H53="","",'2026'!H53)</f>
        <v>324.95</v>
      </c>
      <c r="J53" s="24">
        <f>IF('2026'!I53="","",'2026'!I53)</f>
        <v>318.25</v>
      </c>
      <c r="K53" s="25">
        <f>IF('2026'!J53="","",'2026'!J53)</f>
        <v>314.89999999999998</v>
      </c>
    </row>
    <row r="54" spans="1:11" x14ac:dyDescent="0.2">
      <c r="A54" s="57">
        <f>IF('2026'!B54="","",'2026'!B54)</f>
        <v>31</v>
      </c>
      <c r="B54" s="239" t="str">
        <f>IF('2026'!C54="","",'2026'!C54)</f>
        <v/>
      </c>
      <c r="C54" s="139" t="str">
        <f>IF('2026'!D54="","",'2026'!D54)</f>
        <v>Blue-Brown 2.5" Premium</v>
      </c>
      <c r="D54" s="146" t="s">
        <v>371</v>
      </c>
      <c r="E54" s="57" t="str">
        <f>IF('2026'!E54="","",'2026'!E54)</f>
        <v>ton</v>
      </c>
      <c r="F54" s="149">
        <f t="shared" si="6"/>
        <v>0.33750000000000002</v>
      </c>
      <c r="G54" s="159">
        <f>IF('2026'!F54="","",'2026'!F54)</f>
        <v>675</v>
      </c>
      <c r="H54" s="35">
        <f>IF('2026'!G54="","",'2026'!G54)</f>
        <v>482</v>
      </c>
      <c r="I54" s="23">
        <f>IF('2026'!H54="","",'2026'!H54)</f>
        <v>467.53999999999996</v>
      </c>
      <c r="J54" s="24">
        <f>IF('2026'!I54="","",'2026'!I54)</f>
        <v>457.9</v>
      </c>
      <c r="K54" s="25">
        <f>IF('2026'!J54="","",'2026'!J54)</f>
        <v>453.08</v>
      </c>
    </row>
    <row r="55" spans="1:11" x14ac:dyDescent="0.2">
      <c r="A55" s="57">
        <f>IF('2026'!B55="","",'2026'!B55)</f>
        <v>32</v>
      </c>
      <c r="B55" s="239" t="str">
        <f>IF('2026'!C55="","",'2026'!C55)</f>
        <v/>
      </c>
      <c r="C55" s="139" t="str">
        <f>IF('2026'!D55="","",'2026'!D55)</f>
        <v>Lanavac Gray 1.5"</v>
      </c>
      <c r="D55" s="146" t="s">
        <v>370</v>
      </c>
      <c r="E55" s="57" t="str">
        <f>IF('2026'!E55="","",'2026'!E55)</f>
        <v>ton</v>
      </c>
      <c r="F55" s="149">
        <f t="shared" si="6"/>
        <v>0.26250000000000001</v>
      </c>
      <c r="G55" s="159">
        <f>IF('2026'!F55="","",'2026'!F55)</f>
        <v>525</v>
      </c>
      <c r="H55" s="35">
        <f>IF('2026'!G55="","",'2026'!G55)</f>
        <v>375</v>
      </c>
      <c r="I55" s="23">
        <f>IF('2026'!H55="","",'2026'!H55)</f>
        <v>363.75</v>
      </c>
      <c r="J55" s="24">
        <f>IF('2026'!I55="","",'2026'!I55)</f>
        <v>356.25</v>
      </c>
      <c r="K55" s="25">
        <f>IF('2026'!J55="","",'2026'!J55)</f>
        <v>352.5</v>
      </c>
    </row>
    <row r="56" spans="1:11" x14ac:dyDescent="0.2">
      <c r="A56" s="57">
        <f>IF('2026'!B56="","",'2026'!B56)</f>
        <v>33</v>
      </c>
      <c r="B56" s="239" t="str">
        <f>IF('2026'!C56="","",'2026'!C56)</f>
        <v/>
      </c>
      <c r="C56" s="139" t="str">
        <f>IF('2026'!D56="","",'2026'!D56)</f>
        <v>Lanavac Gray 2.5"</v>
      </c>
      <c r="D56" s="146" t="s">
        <v>371</v>
      </c>
      <c r="E56" s="57" t="str">
        <f>IF('2026'!E56="","",'2026'!E56)</f>
        <v>ton</v>
      </c>
      <c r="F56" s="149">
        <f t="shared" si="6"/>
        <v>0.249</v>
      </c>
      <c r="G56" s="159">
        <f>IF('2026'!F56="","",'2026'!F56)</f>
        <v>498</v>
      </c>
      <c r="H56" s="35">
        <f>IF('2026'!G56="","",'2026'!G56)</f>
        <v>355</v>
      </c>
      <c r="I56" s="23">
        <f>IF('2026'!H56="","",'2026'!H56)</f>
        <v>344.34999999999997</v>
      </c>
      <c r="J56" s="24">
        <f>IF('2026'!I56="","",'2026'!I56)</f>
        <v>337.25</v>
      </c>
      <c r="K56" s="25">
        <f>IF('2026'!J56="","",'2026'!J56)</f>
        <v>333.7</v>
      </c>
    </row>
    <row r="57" spans="1:11" x14ac:dyDescent="0.2">
      <c r="A57" s="57">
        <f>IF('2026'!B57="","",'2026'!B57)</f>
        <v>34</v>
      </c>
      <c r="B57" s="239" t="str">
        <f>IF('2026'!C57="","",'2026'!C57)</f>
        <v/>
      </c>
      <c r="C57" s="139" t="str">
        <f>IF('2026'!D57="","",'2026'!D57)</f>
        <v xml:space="preserve">Lanavac Gray Premium </v>
      </c>
      <c r="D57" s="146" t="s">
        <v>371</v>
      </c>
      <c r="E57" s="57" t="str">
        <f>IF('2026'!E57="","",'2026'!E57)</f>
        <v>ton</v>
      </c>
      <c r="F57" s="149">
        <f t="shared" si="6"/>
        <v>0.372</v>
      </c>
      <c r="G57" s="159">
        <f>IF('2026'!F57="","",'2026'!F57)</f>
        <v>744</v>
      </c>
      <c r="H57" s="35">
        <f>IF('2026'!G57="","",'2026'!G57)</f>
        <v>531</v>
      </c>
      <c r="I57" s="23">
        <f>IF('2026'!H57="","",'2026'!H57)</f>
        <v>515.06999999999994</v>
      </c>
      <c r="J57" s="24">
        <f>IF('2026'!I57="","",'2026'!I57)</f>
        <v>504.45</v>
      </c>
      <c r="K57" s="25">
        <f>IF('2026'!J57="","",'2026'!J57)</f>
        <v>499.14</v>
      </c>
    </row>
    <row r="58" spans="1:11" x14ac:dyDescent="0.2">
      <c r="A58" s="57">
        <f>IF('2026'!B58="","",'2026'!B58)</f>
        <v>35</v>
      </c>
      <c r="B58" s="239" t="str">
        <f>IF('2026'!C58="","",'2026'!C58)</f>
        <v/>
      </c>
      <c r="C58" s="139" t="str">
        <f>IF('2026'!D58="","",'2026'!D58)</f>
        <v>Blackhills Rustic 1.5" Patio</v>
      </c>
      <c r="D58" s="146" t="s">
        <v>370</v>
      </c>
      <c r="E58" s="57" t="str">
        <f>IF('2026'!E58="","",'2026'!E58)</f>
        <v>ton</v>
      </c>
      <c r="F58" s="149">
        <f t="shared" si="6"/>
        <v>0.28149999999999997</v>
      </c>
      <c r="G58" s="159">
        <f>IF('2026'!F58="","",'2026'!F58)</f>
        <v>563</v>
      </c>
      <c r="H58" s="35">
        <f>IF('2026'!G58="","",'2026'!G58)</f>
        <v>402</v>
      </c>
      <c r="I58" s="23">
        <f>IF('2026'!H58="","",'2026'!H58)</f>
        <v>389.94</v>
      </c>
      <c r="J58" s="24">
        <f>IF('2026'!I58="","",'2026'!I58)</f>
        <v>381.9</v>
      </c>
      <c r="K58" s="25">
        <f>IF('2026'!J58="","",'2026'!J58)</f>
        <v>377.88</v>
      </c>
    </row>
    <row r="59" spans="1:11" x14ac:dyDescent="0.2">
      <c r="A59" s="57">
        <f>IF('2026'!B59="","",'2026'!B59)</f>
        <v>36</v>
      </c>
      <c r="B59" s="239" t="str">
        <f>IF('2026'!C59="","",'2026'!C59)</f>
        <v/>
      </c>
      <c r="C59" s="139" t="str">
        <f>IF('2026'!D59="","",'2026'!D59)</f>
        <v>Blackhills Rustic 1.5" Premium</v>
      </c>
      <c r="D59" s="146" t="s">
        <v>370</v>
      </c>
      <c r="E59" s="57" t="str">
        <f>IF('2026'!E59="","",'2026'!E59)</f>
        <v>ton</v>
      </c>
      <c r="F59" s="149">
        <f t="shared" si="6"/>
        <v>0.39900000000000002</v>
      </c>
      <c r="G59" s="159">
        <f>IF('2026'!F59="","",'2026'!F59)</f>
        <v>798</v>
      </c>
      <c r="H59" s="35">
        <f>IF('2026'!G59="","",'2026'!G59)</f>
        <v>570</v>
      </c>
      <c r="I59" s="23">
        <f>IF('2026'!H59="","",'2026'!H59)</f>
        <v>552.9</v>
      </c>
      <c r="J59" s="24">
        <f>IF('2026'!I59="","",'2026'!I59)</f>
        <v>541.5</v>
      </c>
      <c r="K59" s="25">
        <f>IF('2026'!J59="","",'2026'!J59)</f>
        <v>535.79999999999995</v>
      </c>
    </row>
    <row r="60" spans="1:11" x14ac:dyDescent="0.2">
      <c r="A60" s="57">
        <f>IF('2026'!B60="","",'2026'!B60)</f>
        <v>37</v>
      </c>
      <c r="B60" s="239" t="str">
        <f>IF('2026'!C60="","",'2026'!C60)</f>
        <v/>
      </c>
      <c r="C60" s="139" t="str">
        <f>IF('2026'!D60="","",'2026'!D60)</f>
        <v>Blackhills Rustic 2.5" Patio</v>
      </c>
      <c r="D60" s="146" t="s">
        <v>371</v>
      </c>
      <c r="E60" s="57" t="str">
        <f>IF('2026'!E60="","",'2026'!E60)</f>
        <v>ton</v>
      </c>
      <c r="F60" s="149">
        <f t="shared" si="6"/>
        <v>0.26700000000000002</v>
      </c>
      <c r="G60" s="159">
        <f>IF('2026'!F60="","",'2026'!F60)</f>
        <v>534</v>
      </c>
      <c r="H60" s="35">
        <f>IF('2026'!G60="","",'2026'!G60)</f>
        <v>381</v>
      </c>
      <c r="I60" s="23">
        <f>IF('2026'!H60="","",'2026'!H60)</f>
        <v>369.57</v>
      </c>
      <c r="J60" s="24">
        <f>IF('2026'!I60="","",'2026'!I60)</f>
        <v>361.95</v>
      </c>
      <c r="K60" s="25">
        <f>IF('2026'!J60="","",'2026'!J60)</f>
        <v>358.14</v>
      </c>
    </row>
    <row r="61" spans="1:11" x14ac:dyDescent="0.2">
      <c r="A61" s="57">
        <f>IF('2026'!B61="","",'2026'!B61)</f>
        <v>38</v>
      </c>
      <c r="B61" s="239" t="str">
        <f>IF('2026'!C61="","",'2026'!C61)</f>
        <v/>
      </c>
      <c r="C61" s="139" t="str">
        <f>IF('2026'!D61="","",'2026'!D61)</f>
        <v>Blackhills Rustic 2.5" Premium</v>
      </c>
      <c r="D61" s="146" t="s">
        <v>371</v>
      </c>
      <c r="E61" s="57" t="str">
        <f>IF('2026'!E61="","",'2026'!E61)</f>
        <v>ton</v>
      </c>
      <c r="F61" s="149">
        <f t="shared" si="6"/>
        <v>0.38450000000000001</v>
      </c>
      <c r="G61" s="159">
        <f>IF('2026'!F61="","",'2026'!F61)</f>
        <v>769</v>
      </c>
      <c r="H61" s="35">
        <f>IF('2026'!G61="","",'2026'!G61)</f>
        <v>549</v>
      </c>
      <c r="I61" s="23">
        <f>IF('2026'!H61="","",'2026'!H61)</f>
        <v>532.53</v>
      </c>
      <c r="J61" s="24">
        <f>IF('2026'!I61="","",'2026'!I61)</f>
        <v>521.54999999999995</v>
      </c>
      <c r="K61" s="25">
        <f>IF('2026'!J61="","",'2026'!J61)</f>
        <v>516.05999999999995</v>
      </c>
    </row>
    <row r="62" spans="1:11" x14ac:dyDescent="0.2">
      <c r="A62" s="57">
        <f>IF('2026'!B62="","",'2026'!B62)</f>
        <v>39</v>
      </c>
      <c r="B62" s="239" t="str">
        <f>IF('2026'!C62="","",'2026'!C62)</f>
        <v/>
      </c>
      <c r="C62" s="139" t="str">
        <f>IF('2026'!D62="","",'2026'!D62)</f>
        <v>Longhorn Ridge 1.5" Patio</v>
      </c>
      <c r="D62" s="146" t="s">
        <v>370</v>
      </c>
      <c r="E62" s="57" t="str">
        <f>IF('2026'!E62="","",'2026'!E62)</f>
        <v>ton</v>
      </c>
      <c r="F62" s="149">
        <f t="shared" si="6"/>
        <v>0.26650000000000001</v>
      </c>
      <c r="G62" s="159">
        <f>IF('2026'!F62="","",'2026'!F62)</f>
        <v>533</v>
      </c>
      <c r="H62" s="35">
        <f>IF('2026'!G62="","",'2026'!G62)</f>
        <v>380</v>
      </c>
      <c r="I62" s="23">
        <f>IF('2026'!H62="","",'2026'!H62)</f>
        <v>368.59999999999997</v>
      </c>
      <c r="J62" s="24">
        <f>IF('2026'!I62="","",'2026'!I62)</f>
        <v>361</v>
      </c>
      <c r="K62" s="25">
        <f>IF('2026'!J62="","",'2026'!J62)</f>
        <v>357.2</v>
      </c>
    </row>
    <row r="63" spans="1:11" x14ac:dyDescent="0.2">
      <c r="A63" s="57">
        <f>IF('2026'!B63="","",'2026'!B63)</f>
        <v>40</v>
      </c>
      <c r="B63" s="239" t="str">
        <f>IF('2026'!C63="","",'2026'!C63)</f>
        <v/>
      </c>
      <c r="C63" s="139" t="str">
        <f>IF('2026'!D63="","",'2026'!D63)</f>
        <v>Longhorn Ridge 1.5" Premium</v>
      </c>
      <c r="D63" s="146" t="s">
        <v>370</v>
      </c>
      <c r="E63" s="57" t="str">
        <f>IF('2026'!E63="","",'2026'!E63)</f>
        <v>ton</v>
      </c>
      <c r="F63" s="149">
        <f t="shared" si="6"/>
        <v>0.3775</v>
      </c>
      <c r="G63" s="159">
        <f>IF('2026'!F63="","",'2026'!F63)</f>
        <v>755</v>
      </c>
      <c r="H63" s="35">
        <f>IF('2026'!G63="","",'2026'!G63)</f>
        <v>539</v>
      </c>
      <c r="I63" s="23">
        <f>IF('2026'!H63="","",'2026'!H63)</f>
        <v>522.83000000000004</v>
      </c>
      <c r="J63" s="24">
        <f>IF('2026'!I63="","",'2026'!I63)</f>
        <v>512.04999999999995</v>
      </c>
      <c r="K63" s="25">
        <f>IF('2026'!J63="","",'2026'!J63)</f>
        <v>506.65999999999997</v>
      </c>
    </row>
    <row r="64" spans="1:11" x14ac:dyDescent="0.2">
      <c r="A64" s="57">
        <f>IF('2026'!B64="","",'2026'!B64)</f>
        <v>41</v>
      </c>
      <c r="B64" s="239" t="str">
        <f>IF('2026'!C64="","",'2026'!C64)</f>
        <v/>
      </c>
      <c r="C64" s="139" t="str">
        <f>IF('2026'!D64="","",'2026'!D64)</f>
        <v>Longhorn Ridge 2.5" Patio</v>
      </c>
      <c r="D64" s="146" t="s">
        <v>371</v>
      </c>
      <c r="E64" s="57" t="str">
        <f>IF('2026'!E64="","",'2026'!E64)</f>
        <v>ton</v>
      </c>
      <c r="F64" s="149">
        <f t="shared" si="6"/>
        <v>0.2525</v>
      </c>
      <c r="G64" s="159">
        <f>IF('2026'!F64="","",'2026'!F64)</f>
        <v>505</v>
      </c>
      <c r="H64" s="35">
        <f>IF('2026'!G64="","",'2026'!G64)</f>
        <v>361</v>
      </c>
      <c r="I64" s="23">
        <f>IF('2026'!H64="","",'2026'!H64)</f>
        <v>350.17</v>
      </c>
      <c r="J64" s="24">
        <f>IF('2026'!I64="","",'2026'!I64)</f>
        <v>342.95</v>
      </c>
      <c r="K64" s="25">
        <f>IF('2026'!J64="","",'2026'!J64)</f>
        <v>339.34</v>
      </c>
    </row>
    <row r="65" spans="1:11" x14ac:dyDescent="0.2">
      <c r="A65" s="57">
        <f>IF('2026'!B65="","",'2026'!B65)</f>
        <v>42</v>
      </c>
      <c r="B65" s="239" t="str">
        <f>IF('2026'!C65="","",'2026'!C65)</f>
        <v/>
      </c>
      <c r="C65" s="139" t="str">
        <f>IF('2026'!D65="","",'2026'!D65)</f>
        <v>Longhorn Ridge 2.5 Premium</v>
      </c>
      <c r="D65" s="146" t="s">
        <v>371</v>
      </c>
      <c r="E65" s="57" t="str">
        <f>IF('2026'!E65="","",'2026'!E65)</f>
        <v>ton</v>
      </c>
      <c r="F65" s="149">
        <f t="shared" si="6"/>
        <v>0.36349999999999999</v>
      </c>
      <c r="G65" s="159">
        <f>IF('2026'!F65="","",'2026'!F65)</f>
        <v>727</v>
      </c>
      <c r="H65" s="35">
        <f>IF('2026'!G65="","",'2026'!G65)</f>
        <v>519</v>
      </c>
      <c r="I65" s="23">
        <f>IF('2026'!H65="","",'2026'!H65)</f>
        <v>503.43</v>
      </c>
      <c r="J65" s="24">
        <f>IF('2026'!I65="","",'2026'!I65)</f>
        <v>493.04999999999995</v>
      </c>
      <c r="K65" s="25">
        <f>IF('2026'!J65="","",'2026'!J65)</f>
        <v>487.85999999999996</v>
      </c>
    </row>
    <row r="66" spans="1:11" x14ac:dyDescent="0.2">
      <c r="A66" s="57">
        <f>IF('2026'!B66="","",'2026'!B66)</f>
        <v>43</v>
      </c>
      <c r="B66" s="239" t="str">
        <f>IF('2026'!C66="","",'2026'!C66)</f>
        <v/>
      </c>
      <c r="C66" s="139" t="str">
        <f>IF('2026'!D66="","",'2026'!D66)</f>
        <v>KS Sawn Premium</v>
      </c>
      <c r="D66" s="146" t="s">
        <v>427</v>
      </c>
      <c r="E66" s="57" t="str">
        <f>IF('2026'!E66="","",'2026'!E66)</f>
        <v>ton</v>
      </c>
      <c r="F66" s="149">
        <f t="shared" ref="F66" si="7">G66/2000</f>
        <v>0.40899999999999997</v>
      </c>
      <c r="G66" s="159">
        <f>IF('2026'!F66="","",'2026'!F66)</f>
        <v>818</v>
      </c>
      <c r="H66" s="123"/>
      <c r="I66" s="124"/>
      <c r="J66" s="125"/>
      <c r="K66" s="126"/>
    </row>
    <row r="67" spans="1:11" x14ac:dyDescent="0.2">
      <c r="A67" s="20"/>
      <c r="B67" s="49"/>
      <c r="C67" s="2" t="s">
        <v>66</v>
      </c>
      <c r="D67" s="20"/>
      <c r="E67" s="14"/>
      <c r="F67" s="14"/>
      <c r="G67" s="14"/>
      <c r="H67" s="48"/>
      <c r="I67" s="48"/>
      <c r="J67" s="48"/>
      <c r="K67" s="48"/>
    </row>
    <row r="68" spans="1:11" x14ac:dyDescent="0.2">
      <c r="A68" s="57">
        <f>IF('2026'!B68="","",'2026'!B68)</f>
        <v>44</v>
      </c>
      <c r="B68" s="239" t="str">
        <f>IF('2026'!C68="","",'2026'!C68)</f>
        <v/>
      </c>
      <c r="C68" s="139" t="str">
        <f>IF('2026'!D68="","",'2026'!D68)</f>
        <v>Blackhills Rustic Chopped</v>
      </c>
      <c r="D68" s="146"/>
      <c r="E68" s="57" t="str">
        <f>IF('2026'!E68="","",'2026'!E68)</f>
        <v>each</v>
      </c>
      <c r="F68" s="57"/>
      <c r="G68" s="159">
        <f>IF('2026'!F68="","",'2026'!F68)</f>
        <v>207</v>
      </c>
      <c r="H68" s="35">
        <f>IF('2026'!G68="","",'2026'!G68)</f>
        <v>154</v>
      </c>
      <c r="I68" s="23">
        <f>IF('2026'!H68="","",'2026'!H68)</f>
        <v>149.38</v>
      </c>
      <c r="J68" s="24">
        <f>IF('2026'!I68="","",'2026'!I68)</f>
        <v>146.29999999999998</v>
      </c>
      <c r="K68" s="25">
        <f>IF('2026'!J68="","",'2026'!J68)</f>
        <v>144.76</v>
      </c>
    </row>
    <row r="69" spans="1:11" x14ac:dyDescent="0.2">
      <c r="A69" s="12">
        <f>IF('2026'!B69="","",'2026'!B69)</f>
        <v>45</v>
      </c>
      <c r="B69" s="249" t="str">
        <f>IF('2026'!C69="","",'2026'!C69)</f>
        <v/>
      </c>
      <c r="C69" s="69" t="str">
        <f>IF('2026'!D69="","",'2026'!D69)</f>
        <v>Midwest Gray 7" Stair Tread</v>
      </c>
      <c r="D69" s="252"/>
      <c r="E69" s="12" t="str">
        <f>IF('2026'!E69="","",'2026'!E69)</f>
        <v>each</v>
      </c>
      <c r="F69" s="12"/>
      <c r="G69" s="159">
        <f>IF('2026'!F69="","",'2026'!F69)</f>
        <v>193</v>
      </c>
      <c r="H69" s="35">
        <f>IF('2026'!G69="","",'2026'!G69)</f>
        <v>143</v>
      </c>
      <c r="I69" s="23">
        <f>IF('2026'!H69="","",'2026'!H69)</f>
        <v>138.71</v>
      </c>
      <c r="J69" s="24">
        <f>IF('2026'!I69="","",'2026'!I69)</f>
        <v>135.85</v>
      </c>
      <c r="K69" s="25">
        <f>IF('2026'!J69="","",'2026'!J69)</f>
        <v>134.41999999999999</v>
      </c>
    </row>
    <row r="70" spans="1:11" x14ac:dyDescent="0.2">
      <c r="A70" s="12">
        <f>IF('2026'!B70="","",'2026'!B70)</f>
        <v>46</v>
      </c>
      <c r="B70" s="249" t="str">
        <f>IF('2026'!C70="","",'2026'!C70)</f>
        <v/>
      </c>
      <c r="C70" s="69" t="str">
        <f>IF('2026'!D70="","",'2026'!D70)</f>
        <v>Cottonwood Stair Tread</v>
      </c>
      <c r="D70" s="252"/>
      <c r="E70" s="12" t="str">
        <f>IF('2026'!E70="","",'2026'!E70)</f>
        <v>each</v>
      </c>
      <c r="F70" s="12"/>
      <c r="G70" s="159">
        <f>IF('2026'!F70="","",'2026'!F70)</f>
        <v>290</v>
      </c>
      <c r="H70" s="35">
        <f>IF('2026'!G70="","",'2026'!G70)</f>
        <v>217</v>
      </c>
      <c r="I70" s="23">
        <f>IF('2026'!H70="","",'2026'!H70)</f>
        <v>210.48999999999998</v>
      </c>
      <c r="J70" s="24">
        <f>IF('2026'!I70="","",'2026'!I70)</f>
        <v>206.14999999999998</v>
      </c>
      <c r="K70" s="25">
        <f>IF('2026'!J70="","",'2026'!J70)</f>
        <v>203.98</v>
      </c>
    </row>
    <row r="71" spans="1:11" x14ac:dyDescent="0.2">
      <c r="A71" s="20"/>
      <c r="B71" s="49"/>
      <c r="C71" s="2" t="s">
        <v>70</v>
      </c>
      <c r="D71" s="20"/>
      <c r="E71" s="14"/>
      <c r="F71" s="14"/>
      <c r="G71" s="14"/>
      <c r="H71" s="50"/>
      <c r="I71" s="50"/>
      <c r="J71" s="50"/>
      <c r="K71" s="50"/>
    </row>
    <row r="72" spans="1:11" x14ac:dyDescent="0.2">
      <c r="A72" s="57" t="str">
        <f>IF('2026'!B72="","",'2026'!B72)</f>
        <v/>
      </c>
      <c r="B72" s="239" t="str">
        <f>IF('2026'!C72="","",'2026'!C72)</f>
        <v/>
      </c>
      <c r="C72" s="139" t="str">
        <f>IF('2026'!D72="","",'2026'!D72)</f>
        <v>Bulk Bag Fee</v>
      </c>
      <c r="D72" s="57"/>
      <c r="E72" s="57" t="str">
        <f>IF('2026'!E72="","",'2026'!E72)</f>
        <v>per bag</v>
      </c>
      <c r="F72" s="57"/>
      <c r="G72" s="159">
        <f>IF('2026'!F72="","",'2026'!F72)</f>
        <v>30</v>
      </c>
      <c r="H72" s="35">
        <f>IF('2026'!G72="","",'2026'!G72)</f>
        <v>30</v>
      </c>
      <c r="I72" s="23">
        <f>IF('2026'!H72="","",'2026'!H72)</f>
        <v>30</v>
      </c>
      <c r="J72" s="24">
        <f>IF('2026'!I72="","",'2026'!I72)</f>
        <v>30</v>
      </c>
      <c r="K72" s="25">
        <f>IF('2026'!J72="","",'2026'!J72)</f>
        <v>30</v>
      </c>
    </row>
    <row r="73" spans="1:11" x14ac:dyDescent="0.2">
      <c r="A73" s="57" t="str">
        <f>IF('2026'!B73="","",'2026'!B73)</f>
        <v/>
      </c>
      <c r="B73" s="239" t="str">
        <f>IF('2026'!C73="","",'2026'!C73)</f>
        <v/>
      </c>
      <c r="C73" s="139" t="str">
        <f>IF('2026'!D73="","",'2026'!D73)</f>
        <v>Tote Bag</v>
      </c>
      <c r="D73" s="57"/>
      <c r="E73" s="57" t="str">
        <f>IF('2026'!E73="","",'2026'!E73)</f>
        <v>per bag</v>
      </c>
      <c r="F73" s="57"/>
      <c r="G73" s="159">
        <f>IF('2026'!F73="","",'2026'!F73)</f>
        <v>5</v>
      </c>
      <c r="H73" s="35">
        <f>IF('2026'!G73="","",'2026'!G73)</f>
        <v>5</v>
      </c>
      <c r="I73" s="23">
        <f>IF('2026'!H73="","",'2026'!H73)</f>
        <v>5</v>
      </c>
      <c r="J73" s="24">
        <f>IF('2026'!I73="","",'2026'!I73)</f>
        <v>5</v>
      </c>
      <c r="K73" s="25">
        <f>IF('2026'!J73="","",'2026'!J73)</f>
        <v>5</v>
      </c>
    </row>
    <row r="74" spans="1:11" x14ac:dyDescent="0.2">
      <c r="A74" s="20"/>
      <c r="B74" s="49"/>
      <c r="C74" s="2" t="s">
        <v>73</v>
      </c>
      <c r="D74" s="20"/>
      <c r="E74" s="14"/>
      <c r="F74" s="14"/>
      <c r="G74" s="14"/>
      <c r="H74" s="48"/>
      <c r="I74" s="48"/>
      <c r="J74" s="48"/>
      <c r="K74" s="48"/>
    </row>
    <row r="75" spans="1:11" x14ac:dyDescent="0.2">
      <c r="A75" s="57">
        <f>IF('2026'!B75="","",'2026'!B75)</f>
        <v>50</v>
      </c>
      <c r="B75" s="239" t="str">
        <f>IF('2026'!C75="","",'2026'!C75)</f>
        <v/>
      </c>
      <c r="C75" s="139" t="str">
        <f>IF('2026'!D75="","",'2026'!D75)</f>
        <v>1/4" Chip</v>
      </c>
      <c r="D75" s="289" t="s">
        <v>387</v>
      </c>
      <c r="E75" s="57" t="str">
        <f>IF('2026'!E75="","",'2026'!E75)</f>
        <v>ton</v>
      </c>
      <c r="F75" s="149">
        <f t="shared" ref="F75:F82" si="8">G75/2000</f>
        <v>5.5500000000000001E-2</v>
      </c>
      <c r="G75" s="159">
        <f>IF('2026'!F75="","",'2026'!F75)</f>
        <v>111</v>
      </c>
      <c r="H75" s="35">
        <f>IF('2026'!G75="","",'2026'!G75)</f>
        <v>74</v>
      </c>
      <c r="I75" s="23">
        <f>IF('2026'!H75="","",'2026'!H75)</f>
        <v>71.78</v>
      </c>
      <c r="J75" s="24">
        <f>IF('2026'!I75="","",'2026'!I75)</f>
        <v>70.3</v>
      </c>
      <c r="K75" s="25">
        <f>IF('2026'!J75="","",'2026'!J75)</f>
        <v>69.56</v>
      </c>
    </row>
    <row r="76" spans="1:11" x14ac:dyDescent="0.2">
      <c r="A76" s="57">
        <f>IF('2026'!B76="","",'2026'!B76)</f>
        <v>51</v>
      </c>
      <c r="B76" s="239" t="str">
        <f>IF('2026'!C76="","",'2026'!C76)</f>
        <v/>
      </c>
      <c r="C76" s="139" t="str">
        <f>IF('2026'!D76="","",'2026'!D76)</f>
        <v>Masonry Sand</v>
      </c>
      <c r="D76" s="290"/>
      <c r="E76" s="57" t="str">
        <f>IF('2026'!E76="","",'2026'!E76)</f>
        <v>ton</v>
      </c>
      <c r="F76" s="149">
        <f t="shared" si="8"/>
        <v>2.9000000000000001E-2</v>
      </c>
      <c r="G76" s="159">
        <f>IF('2026'!F76="","",'2026'!F76)</f>
        <v>58</v>
      </c>
      <c r="H76" s="35">
        <f>IF('2026'!G76="","",'2026'!G76)</f>
        <v>40</v>
      </c>
      <c r="I76" s="23">
        <f>IF('2026'!H76="","",'2026'!H76)</f>
        <v>38.799999999999997</v>
      </c>
      <c r="J76" s="24">
        <f>IF('2026'!I76="","",'2026'!I76)</f>
        <v>38</v>
      </c>
      <c r="K76" s="25">
        <f>IF('2026'!J76="","",'2026'!J76)</f>
        <v>37.599999999999994</v>
      </c>
    </row>
    <row r="77" spans="1:11" x14ac:dyDescent="0.2">
      <c r="A77" s="57">
        <f>IF('2026'!B77="","",'2026'!B77)</f>
        <v>52</v>
      </c>
      <c r="B77" s="239" t="str">
        <f>IF('2026'!C77="","",'2026'!C77)</f>
        <v/>
      </c>
      <c r="C77" s="139" t="str">
        <f>IF('2026'!D77="","",'2026'!D77)</f>
        <v>Clean Fill Sand</v>
      </c>
      <c r="D77" s="290"/>
      <c r="E77" s="57" t="str">
        <f>IF('2026'!E77="","",'2026'!E77)</f>
        <v>ton</v>
      </c>
      <c r="F77" s="149">
        <f t="shared" si="8"/>
        <v>2.9000000000000001E-2</v>
      </c>
      <c r="G77" s="159">
        <f>IF('2026'!F77="","",'2026'!F77)</f>
        <v>58</v>
      </c>
      <c r="H77" s="35">
        <f>IF('2026'!G77="","",'2026'!G77)</f>
        <v>40</v>
      </c>
      <c r="I77" s="23">
        <f>IF('2026'!H77="","",'2026'!H77)</f>
        <v>38.799999999999997</v>
      </c>
      <c r="J77" s="24">
        <f>IF('2026'!I77="","",'2026'!I77)</f>
        <v>38</v>
      </c>
      <c r="K77" s="25">
        <f>IF('2026'!J77="","",'2026'!J77)</f>
        <v>37.599999999999994</v>
      </c>
    </row>
    <row r="78" spans="1:11" x14ac:dyDescent="0.2">
      <c r="A78" s="57">
        <f>IF('2026'!B78="","",'2026'!B78)</f>
        <v>53</v>
      </c>
      <c r="B78" s="239" t="str">
        <f>IF('2026'!C78="","",'2026'!C78)</f>
        <v/>
      </c>
      <c r="C78" s="139" t="str">
        <f>IF('2026'!D78="","",'2026'!D78)</f>
        <v>1.5" Washed Rock</v>
      </c>
      <c r="D78" s="290"/>
      <c r="E78" s="57" t="str">
        <f>IF('2026'!E78="","",'2026'!E78)</f>
        <v>ton</v>
      </c>
      <c r="F78" s="149">
        <f t="shared" si="8"/>
        <v>3.5000000000000003E-2</v>
      </c>
      <c r="G78" s="159">
        <f>IF('2026'!F78="","",'2026'!F78)</f>
        <v>70</v>
      </c>
      <c r="H78" s="35">
        <f>IF('2026'!G78="","",'2026'!G78)</f>
        <v>50</v>
      </c>
      <c r="I78" s="23">
        <f>IF('2026'!H78="","",'2026'!H78)</f>
        <v>48.5</v>
      </c>
      <c r="J78" s="24">
        <f>IF('2026'!I78="","",'2026'!I78)</f>
        <v>47.5</v>
      </c>
      <c r="K78" s="25">
        <f>IF('2026'!J78="","",'2026'!J78)</f>
        <v>47</v>
      </c>
    </row>
    <row r="79" spans="1:11" x14ac:dyDescent="0.2">
      <c r="A79" s="57">
        <f>IF('2026'!B79="","",'2026'!B79)</f>
        <v>54</v>
      </c>
      <c r="B79" s="239" t="str">
        <f>IF('2026'!C79="","",'2026'!C79)</f>
        <v/>
      </c>
      <c r="C79" s="139" t="str">
        <f>IF('2026'!D79="","",'2026'!D79)</f>
        <v>3/4" Washed Rock</v>
      </c>
      <c r="D79" s="290"/>
      <c r="E79" s="57" t="str">
        <f>IF('2026'!E79="","",'2026'!E79)</f>
        <v>ton</v>
      </c>
      <c r="F79" s="149">
        <f t="shared" si="8"/>
        <v>3.5000000000000003E-2</v>
      </c>
      <c r="G79" s="159">
        <f>IF('2026'!F79="","",'2026'!F79)</f>
        <v>70</v>
      </c>
      <c r="H79" s="35">
        <f>IF('2026'!G79="","",'2026'!G79)</f>
        <v>50</v>
      </c>
      <c r="I79" s="23">
        <f>IF('2026'!H79="","",'2026'!H79)</f>
        <v>48.5</v>
      </c>
      <c r="J79" s="24">
        <f>IF('2026'!I79="","",'2026'!I79)</f>
        <v>47.5</v>
      </c>
      <c r="K79" s="25">
        <f>IF('2026'!J79="","",'2026'!J79)</f>
        <v>47</v>
      </c>
    </row>
    <row r="80" spans="1:11" x14ac:dyDescent="0.2">
      <c r="A80" s="57">
        <f>IF('2026'!B80="","",'2026'!B80)</f>
        <v>55</v>
      </c>
      <c r="B80" s="239" t="str">
        <f>IF('2026'!C80="","",'2026'!C80)</f>
        <v/>
      </c>
      <c r="C80" s="139" t="str">
        <f>IF('2026'!D80="","",'2026'!D80)</f>
        <v>Pit Fines</v>
      </c>
      <c r="D80" s="290"/>
      <c r="E80" s="57" t="str">
        <f>IF('2026'!E80="","",'2026'!E80)</f>
        <v>ton</v>
      </c>
      <c r="F80" s="149">
        <f t="shared" si="8"/>
        <v>2.5000000000000001E-2</v>
      </c>
      <c r="G80" s="159">
        <f>IF('2026'!F80="","",'2026'!F80)</f>
        <v>50</v>
      </c>
      <c r="H80" s="35">
        <f>IF('2026'!G80="","",'2026'!G80)</f>
        <v>30</v>
      </c>
      <c r="I80" s="23">
        <f>IF('2026'!H80="","",'2026'!H80)</f>
        <v>29.099999999999998</v>
      </c>
      <c r="J80" s="24">
        <f>IF('2026'!I80="","",'2026'!I80)</f>
        <v>28.5</v>
      </c>
      <c r="K80" s="25">
        <f>IF('2026'!J80="","",'2026'!J80)</f>
        <v>28.2</v>
      </c>
    </row>
    <row r="81" spans="1:11" x14ac:dyDescent="0.2">
      <c r="A81" s="57">
        <f>IF('2026'!B81="","",'2026'!B81)</f>
        <v>56</v>
      </c>
      <c r="B81" s="239" t="str">
        <f>IF('2026'!C81="","",'2026'!C81)</f>
        <v/>
      </c>
      <c r="C81" s="139" t="str">
        <f>IF('2026'!D81="","",'2026'!D81)</f>
        <v>AB3</v>
      </c>
      <c r="D81" s="290"/>
      <c r="E81" s="57" t="str">
        <f>IF('2026'!E81="","",'2026'!E81)</f>
        <v>ton</v>
      </c>
      <c r="F81" s="149">
        <f t="shared" si="8"/>
        <v>0.03</v>
      </c>
      <c r="G81" s="159">
        <f>IF('2026'!F81="","",'2026'!F81)</f>
        <v>60</v>
      </c>
      <c r="H81" s="35">
        <f>IF('2026'!G81="","",'2026'!G81)</f>
        <v>40</v>
      </c>
      <c r="I81" s="23">
        <f>IF('2026'!H81="","",'2026'!H81)</f>
        <v>38.799999999999997</v>
      </c>
      <c r="J81" s="24">
        <f>IF('2026'!I81="","",'2026'!I81)</f>
        <v>38</v>
      </c>
      <c r="K81" s="25">
        <f>IF('2026'!J81="","",'2026'!J81)</f>
        <v>37.599999999999994</v>
      </c>
    </row>
    <row r="82" spans="1:11" x14ac:dyDescent="0.2">
      <c r="A82" s="57" t="str">
        <f>IF('2026'!B82="","",'2026'!B82)</f>
        <v/>
      </c>
      <c r="B82" s="239" t="str">
        <f>IF('2026'!C82="","",'2026'!C82)</f>
        <v/>
      </c>
      <c r="C82" s="139" t="str">
        <f>IF('2026'!D82="","",'2026'!D82)</f>
        <v>Ditch Rock 3-6"</v>
      </c>
      <c r="D82" s="291"/>
      <c r="E82" s="57" t="str">
        <f>IF('2026'!E82="","",'2026'!E82)</f>
        <v>ton</v>
      </c>
      <c r="F82" s="149">
        <f t="shared" si="8"/>
        <v>0.06</v>
      </c>
      <c r="G82" s="159">
        <f>IF('2026'!F82="","",'2026'!F82)</f>
        <v>120</v>
      </c>
      <c r="H82" s="35">
        <f>IF('2026'!G82="","",'2026'!G82)</f>
        <v>80</v>
      </c>
      <c r="I82" s="23">
        <f>IF('2026'!H82="","",'2026'!H82)</f>
        <v>77.599999999999994</v>
      </c>
      <c r="J82" s="24">
        <f>IF('2026'!I82="","",'2026'!I82)</f>
        <v>76</v>
      </c>
      <c r="K82" s="25">
        <f>IF('2026'!J82="","",'2026'!J82)</f>
        <v>75.199999999999989</v>
      </c>
    </row>
    <row r="83" spans="1:11" x14ac:dyDescent="0.2">
      <c r="A83" s="20"/>
      <c r="B83" s="49"/>
      <c r="C83" s="2" t="s">
        <v>82</v>
      </c>
      <c r="D83" s="20"/>
      <c r="E83" s="14"/>
      <c r="F83" s="14"/>
      <c r="G83" s="14"/>
      <c r="H83" s="48"/>
      <c r="I83" s="48"/>
      <c r="J83" s="48"/>
      <c r="K83" s="48"/>
    </row>
    <row r="84" spans="1:11" x14ac:dyDescent="0.2">
      <c r="A84" s="57">
        <f>IF('2026'!B84="","",'2026'!B84)</f>
        <v>57</v>
      </c>
      <c r="B84" s="239" t="str">
        <f>IF('2026'!C84="","",'2026'!C84)</f>
        <v/>
      </c>
      <c r="C84" s="139" t="str">
        <f>IF('2026'!D84="","",'2026'!D84)</f>
        <v>Salt &amp; Pepper 1.5"</v>
      </c>
      <c r="D84" s="147" t="s">
        <v>372</v>
      </c>
      <c r="E84" s="57" t="str">
        <f>IF('2026'!E84="","",'2026'!E84)</f>
        <v>ton</v>
      </c>
      <c r="F84" s="149">
        <f t="shared" ref="F84:F99" si="9">G84/2000</f>
        <v>0.1925</v>
      </c>
      <c r="G84" s="159">
        <f>IF('2026'!F84="","",'2026'!F84)</f>
        <v>385</v>
      </c>
      <c r="H84" s="35">
        <f>IF('2026'!G84="","",'2026'!G84)</f>
        <v>257</v>
      </c>
      <c r="I84" s="23">
        <f>IF('2026'!H84="","",'2026'!H84)</f>
        <v>249.29</v>
      </c>
      <c r="J84" s="24">
        <f>IF('2026'!I84="","",'2026'!I84)</f>
        <v>244.14999999999998</v>
      </c>
      <c r="K84" s="25">
        <f>IF('2026'!J84="","",'2026'!J84)</f>
        <v>241.57999999999998</v>
      </c>
    </row>
    <row r="85" spans="1:11" x14ac:dyDescent="0.2">
      <c r="A85" s="12">
        <f>IF('2026'!B85="","",'2026'!B85)</f>
        <v>58</v>
      </c>
      <c r="B85" s="249" t="str">
        <f>IF('2026'!C85="","",'2026'!C85)</f>
        <v/>
      </c>
      <c r="C85" s="69" t="str">
        <f>IF('2026'!D85="","",'2026'!D85)</f>
        <v>Kansas Pea Gravel</v>
      </c>
      <c r="D85" s="250" t="s">
        <v>373</v>
      </c>
      <c r="E85" s="12" t="str">
        <f>IF('2026'!E85="","",'2026'!E85)</f>
        <v>ton</v>
      </c>
      <c r="F85" s="251">
        <f t="shared" si="9"/>
        <v>4.8500000000000001E-2</v>
      </c>
      <c r="G85" s="159">
        <f>IF('2026'!F85="","",'2026'!F85)</f>
        <v>97</v>
      </c>
      <c r="H85" s="35">
        <f>IF('2026'!G85="","",'2026'!G85)</f>
        <v>69</v>
      </c>
      <c r="I85" s="23">
        <f>IF('2026'!H85="","",'2026'!H85)</f>
        <v>66.929999999999993</v>
      </c>
      <c r="J85" s="24">
        <f>IF('2026'!I85="","",'2026'!I85)</f>
        <v>65.55</v>
      </c>
      <c r="K85" s="25">
        <f>IF('2026'!J85="","",'2026'!J85)</f>
        <v>64.86</v>
      </c>
    </row>
    <row r="86" spans="1:11" x14ac:dyDescent="0.2">
      <c r="A86" s="12">
        <f>IF('2026'!B86="","",'2026'!B86)</f>
        <v>59</v>
      </c>
      <c r="B86" s="249" t="str">
        <f>IF('2026'!C86="","",'2026'!C86)</f>
        <v/>
      </c>
      <c r="C86" s="69" t="str">
        <f>IF('2026'!D86="","",'2026'!D86)</f>
        <v>Kansas River Rock 1.5"</v>
      </c>
      <c r="D86" s="250" t="s">
        <v>372</v>
      </c>
      <c r="E86" s="12" t="str">
        <f>IF('2026'!E86="","",'2026'!E86)</f>
        <v>ton</v>
      </c>
      <c r="F86" s="251">
        <f t="shared" si="9"/>
        <v>6.0499999999999998E-2</v>
      </c>
      <c r="G86" s="159">
        <f>IF('2026'!F86="","",'2026'!F86)</f>
        <v>121</v>
      </c>
      <c r="H86" s="35">
        <f>IF('2026'!G86="","",'2026'!G86)</f>
        <v>88</v>
      </c>
      <c r="I86" s="23">
        <f>IF('2026'!H86="","",'2026'!H86)</f>
        <v>85.36</v>
      </c>
      <c r="J86" s="24">
        <f>IF('2026'!I86="","",'2026'!I86)</f>
        <v>83.6</v>
      </c>
      <c r="K86" s="25">
        <f>IF('2026'!J86="","",'2026'!J86)</f>
        <v>82.72</v>
      </c>
    </row>
    <row r="87" spans="1:11" x14ac:dyDescent="0.2">
      <c r="A87" s="12">
        <f>IF('2026'!B87="","",'2026'!B87)</f>
        <v>60</v>
      </c>
      <c r="B87" s="249" t="str">
        <f>IF('2026'!C87="","",'2026'!C87)</f>
        <v/>
      </c>
      <c r="C87" s="69" t="str">
        <f>IF('2026'!D87="","",'2026'!D87)</f>
        <v>Kansas Large River Rock</v>
      </c>
      <c r="D87" s="250" t="s">
        <v>374</v>
      </c>
      <c r="E87" s="12" t="str">
        <f>IF('2026'!E87="","",'2026'!E87)</f>
        <v>ton</v>
      </c>
      <c r="F87" s="251">
        <f t="shared" si="9"/>
        <v>8.8999999999999996E-2</v>
      </c>
      <c r="G87" s="159">
        <f>IF('2026'!F87="","",'2026'!F87)</f>
        <v>178</v>
      </c>
      <c r="H87" s="35">
        <f>IF('2026'!G87="","",'2026'!G87)</f>
        <v>132</v>
      </c>
      <c r="I87" s="23">
        <f>IF('2026'!H87="","",'2026'!H87)</f>
        <v>128.04</v>
      </c>
      <c r="J87" s="24">
        <f>IF('2026'!I87="","",'2026'!I87)</f>
        <v>125.39999999999999</v>
      </c>
      <c r="K87" s="25">
        <f>IF('2026'!J87="","",'2026'!J87)</f>
        <v>124.08</v>
      </c>
    </row>
    <row r="88" spans="1:11" x14ac:dyDescent="0.2">
      <c r="A88" s="12">
        <f>IF('2026'!B88="","",'2026'!B88)</f>
        <v>61</v>
      </c>
      <c r="B88" s="249" t="str">
        <f>IF('2026'!C88="","",'2026'!C88)</f>
        <v/>
      </c>
      <c r="C88" s="69" t="str">
        <f>IF('2026'!D88="","",'2026'!D88)</f>
        <v>Cobalt Black 1"</v>
      </c>
      <c r="D88" s="250" t="s">
        <v>373</v>
      </c>
      <c r="E88" s="12" t="str">
        <f>IF('2026'!E88="","",'2026'!E88)</f>
        <v>ton</v>
      </c>
      <c r="F88" s="251">
        <f t="shared" si="9"/>
        <v>0.17499999999999999</v>
      </c>
      <c r="G88" s="159">
        <f>IF('2026'!F88="","",'2026'!F88)</f>
        <v>350</v>
      </c>
      <c r="H88" s="35">
        <f>IF('2026'!G88="","",'2026'!G88)</f>
        <v>250</v>
      </c>
      <c r="I88" s="23">
        <f>IF('2026'!H88="","",'2026'!H88)</f>
        <v>242.5</v>
      </c>
      <c r="J88" s="24">
        <f>IF('2026'!I88="","",'2026'!I88)</f>
        <v>237.5</v>
      </c>
      <c r="K88" s="25">
        <f>IF('2026'!J88="","",'2026'!J88)</f>
        <v>235</v>
      </c>
    </row>
    <row r="89" spans="1:11" x14ac:dyDescent="0.2">
      <c r="A89" s="12">
        <f>IF('2026'!B89="","",'2026'!B89)</f>
        <v>62</v>
      </c>
      <c r="B89" s="249" t="str">
        <f>IF('2026'!C89="","",'2026'!C89)</f>
        <v/>
      </c>
      <c r="C89" s="69" t="str">
        <f>IF('2026'!D89="","",'2026'!D89)</f>
        <v>Sandsage River Rock 1.5"</v>
      </c>
      <c r="D89" s="250" t="s">
        <v>372</v>
      </c>
      <c r="E89" s="12" t="str">
        <f>IF('2026'!E89="","",'2026'!E89)</f>
        <v>ton</v>
      </c>
      <c r="F89" s="251">
        <f t="shared" si="9"/>
        <v>9.8000000000000004E-2</v>
      </c>
      <c r="G89" s="159">
        <f>IF('2026'!F89="","",'2026'!F89)</f>
        <v>196</v>
      </c>
      <c r="H89" s="35">
        <f>IF('2026'!G89="","",'2026'!G89)</f>
        <v>130</v>
      </c>
      <c r="I89" s="23">
        <f>IF('2026'!H89="","",'2026'!H89)</f>
        <v>126.1</v>
      </c>
      <c r="J89" s="24">
        <f>IF('2026'!I89="","",'2026'!I89)</f>
        <v>123.5</v>
      </c>
      <c r="K89" s="25">
        <f>IF('2026'!J89="","",'2026'!J89)</f>
        <v>122.19999999999999</v>
      </c>
    </row>
    <row r="90" spans="1:11" x14ac:dyDescent="0.2">
      <c r="A90" s="57">
        <f>IF('2026'!B90="","",'2026'!B90)</f>
        <v>63</v>
      </c>
      <c r="B90" s="239" t="str">
        <f>IF('2026'!C90="","",'2026'!C90)</f>
        <v/>
      </c>
      <c r="C90" s="139" t="str">
        <f>IF('2026'!D90="","",'2026'!D90)</f>
        <v xml:space="preserve">Red Cherokee 1.5" </v>
      </c>
      <c r="D90" s="147" t="s">
        <v>372</v>
      </c>
      <c r="E90" s="57" t="str">
        <f>IF('2026'!E90="","",'2026'!E90)</f>
        <v>ton</v>
      </c>
      <c r="F90" s="149">
        <f t="shared" si="9"/>
        <v>0.13850000000000001</v>
      </c>
      <c r="G90" s="159">
        <f>IF('2026'!F90="","",'2026'!F90)</f>
        <v>277</v>
      </c>
      <c r="H90" s="35">
        <f>IF('2026'!G90="","",'2026'!G90)</f>
        <v>198</v>
      </c>
      <c r="I90" s="23">
        <f>IF('2026'!H90="","",'2026'!H90)</f>
        <v>192.06</v>
      </c>
      <c r="J90" s="24">
        <f>IF('2026'!I90="","",'2026'!I90)</f>
        <v>188.1</v>
      </c>
      <c r="K90" s="25">
        <f>IF('2026'!J90="","",'2026'!J90)</f>
        <v>186.11999999999998</v>
      </c>
    </row>
    <row r="91" spans="1:11" x14ac:dyDescent="0.2">
      <c r="A91" s="57">
        <f>IF('2026'!B91="","",'2026'!B91)</f>
        <v>64</v>
      </c>
      <c r="B91" s="239" t="str">
        <f>IF('2026'!C91="","",'2026'!C91)</f>
        <v/>
      </c>
      <c r="C91" s="139" t="str">
        <f>IF('2026'!D91="","",'2026'!D91)</f>
        <v>Oklahoma Aztec Pea Gravel</v>
      </c>
      <c r="D91" s="147" t="s">
        <v>373</v>
      </c>
      <c r="E91" s="57" t="str">
        <f>IF('2026'!E91="","",'2026'!E91)</f>
        <v>ton</v>
      </c>
      <c r="F91" s="149">
        <f t="shared" si="9"/>
        <v>0.1095</v>
      </c>
      <c r="G91" s="159">
        <f>IF('2026'!F91="","",'2026'!F91)</f>
        <v>219</v>
      </c>
      <c r="H91" s="35">
        <f>IF('2026'!G91="","",'2026'!G91)</f>
        <v>156</v>
      </c>
      <c r="I91" s="23">
        <f>IF('2026'!H91="","",'2026'!H91)</f>
        <v>151.32</v>
      </c>
      <c r="J91" s="24">
        <f>IF('2026'!I91="","",'2026'!I91)</f>
        <v>148.19999999999999</v>
      </c>
      <c r="K91" s="25">
        <f>IF('2026'!J91="","",'2026'!J91)</f>
        <v>146.63999999999999</v>
      </c>
    </row>
    <row r="92" spans="1:11" x14ac:dyDescent="0.2">
      <c r="A92" s="57">
        <f>IF('2026'!B92="","",'2026'!B92)</f>
        <v>65</v>
      </c>
      <c r="B92" s="239" t="str">
        <f>IF('2026'!C92="","",'2026'!C92)</f>
        <v/>
      </c>
      <c r="C92" s="139" t="str">
        <f>IF('2026'!D92="","",'2026'!D92)</f>
        <v>Crusher Fines</v>
      </c>
      <c r="D92" s="147" t="s">
        <v>375</v>
      </c>
      <c r="E92" s="57" t="str">
        <f>IF('2026'!E92="","",'2026'!E92)</f>
        <v>ton</v>
      </c>
      <c r="F92" s="149">
        <f t="shared" si="9"/>
        <v>0.1125</v>
      </c>
      <c r="G92" s="159">
        <f>IF('2026'!F92="","",'2026'!F92)</f>
        <v>225</v>
      </c>
      <c r="H92" s="35">
        <f>IF('2026'!G92="","",'2026'!G92)</f>
        <v>150</v>
      </c>
      <c r="I92" s="23">
        <f>IF('2026'!H92="","",'2026'!H92)</f>
        <v>145.5</v>
      </c>
      <c r="J92" s="24">
        <f>IF('2026'!I92="","",'2026'!I92)</f>
        <v>142.5</v>
      </c>
      <c r="K92" s="25">
        <f>IF('2026'!J92="","",'2026'!J92)</f>
        <v>141</v>
      </c>
    </row>
    <row r="93" spans="1:11" x14ac:dyDescent="0.2">
      <c r="A93" s="57">
        <f>IF('2026'!B93="","",'2026'!B93)</f>
        <v>66</v>
      </c>
      <c r="B93" s="239" t="str">
        <f>IF('2026'!C93="","",'2026'!C93)</f>
        <v/>
      </c>
      <c r="C93" s="139" t="str">
        <f>IF('2026'!D93="","",'2026'!D93)</f>
        <v>Missouri Rainbow 1"</v>
      </c>
      <c r="D93" s="147" t="s">
        <v>373</v>
      </c>
      <c r="E93" s="57" t="str">
        <f>IF('2026'!E93="","",'2026'!E93)</f>
        <v>ton</v>
      </c>
      <c r="F93" s="149">
        <f t="shared" si="9"/>
        <v>0.13450000000000001</v>
      </c>
      <c r="G93" s="159">
        <f>IF('2026'!F93="","",'2026'!F93)</f>
        <v>269</v>
      </c>
      <c r="H93" s="35">
        <f>IF('2026'!G93="","",'2026'!G93)</f>
        <v>180</v>
      </c>
      <c r="I93" s="23">
        <f>IF('2026'!H93="","",'2026'!H93)</f>
        <v>174.6</v>
      </c>
      <c r="J93" s="24">
        <f>IF('2026'!I93="","",'2026'!I93)</f>
        <v>171</v>
      </c>
      <c r="K93" s="25">
        <f>IF('2026'!J93="","",'2026'!J93)</f>
        <v>169.2</v>
      </c>
    </row>
    <row r="94" spans="1:11" x14ac:dyDescent="0.2">
      <c r="A94" s="57">
        <f>IF('2026'!B94="","",'2026'!B94)</f>
        <v>67</v>
      </c>
      <c r="B94" s="239" t="str">
        <f>IF('2026'!C94="","",'2026'!C94)</f>
        <v/>
      </c>
      <c r="C94" s="139" t="str">
        <f>IF('2026'!D94="","",'2026'!D94)</f>
        <v>Missouri Rainbow 2"</v>
      </c>
      <c r="D94" s="147" t="s">
        <v>376</v>
      </c>
      <c r="E94" s="57" t="str">
        <f>IF('2026'!E94="","",'2026'!E94)</f>
        <v>ton</v>
      </c>
      <c r="F94" s="149">
        <f t="shared" si="9"/>
        <v>0.14899999999999999</v>
      </c>
      <c r="G94" s="159">
        <f>IF('2026'!F94="","",'2026'!F94)</f>
        <v>298</v>
      </c>
      <c r="H94" s="35">
        <f>IF('2026'!G94="","",'2026'!G94)</f>
        <v>198</v>
      </c>
      <c r="I94" s="23">
        <f>IF('2026'!H94="","",'2026'!H94)</f>
        <v>192.06</v>
      </c>
      <c r="J94" s="24">
        <f>IF('2026'!I94="","",'2026'!I94)</f>
        <v>188.1</v>
      </c>
      <c r="K94" s="25">
        <f>IF('2026'!J94="","",'2026'!J94)</f>
        <v>186.11999999999998</v>
      </c>
    </row>
    <row r="95" spans="1:11" x14ac:dyDescent="0.2">
      <c r="A95" s="57">
        <f>IF('2026'!B95="","",'2026'!B95)</f>
        <v>68</v>
      </c>
      <c r="B95" s="239" t="str">
        <f>IF('2026'!C95="","",'2026'!C95)</f>
        <v/>
      </c>
      <c r="C95" s="139" t="str">
        <f>IF('2026'!D95="","",'2026'!D95)</f>
        <v>Meramec 1.5"</v>
      </c>
      <c r="D95" s="147" t="s">
        <v>372</v>
      </c>
      <c r="E95" s="57" t="str">
        <f>IF('2026'!E95="","",'2026'!E95)</f>
        <v>ton</v>
      </c>
      <c r="F95" s="149">
        <f t="shared" si="9"/>
        <v>0.14749999999999999</v>
      </c>
      <c r="G95" s="159">
        <f>IF('2026'!F95="","",'2026'!F95)</f>
        <v>295</v>
      </c>
      <c r="H95" s="35">
        <f>IF('2026'!G95="","",'2026'!G95)</f>
        <v>204</v>
      </c>
      <c r="I95" s="23">
        <f>IF('2026'!H95="","",'2026'!H95)</f>
        <v>197.88</v>
      </c>
      <c r="J95" s="24">
        <f>IF('2026'!I95="","",'2026'!I95)</f>
        <v>193.79999999999998</v>
      </c>
      <c r="K95" s="25">
        <f>IF('2026'!J95="","",'2026'!J95)</f>
        <v>191.76</v>
      </c>
    </row>
    <row r="96" spans="1:11" x14ac:dyDescent="0.2">
      <c r="A96" s="57">
        <f>IF('2026'!B96="","",'2026'!B96)</f>
        <v>69</v>
      </c>
      <c r="B96" s="239" t="str">
        <f>IF('2026'!C96="","",'2026'!C96)</f>
        <v/>
      </c>
      <c r="C96" s="139" t="str">
        <f>IF('2026'!D96="","",'2026'!D96)</f>
        <v>Large Meramec</v>
      </c>
      <c r="D96" s="147" t="s">
        <v>374</v>
      </c>
      <c r="E96" s="57" t="str">
        <f>IF('2026'!E96="","",'2026'!E96)</f>
        <v>ton</v>
      </c>
      <c r="F96" s="149">
        <f t="shared" si="9"/>
        <v>0.14749999999999999</v>
      </c>
      <c r="G96" s="159">
        <f>IF('2026'!F96="","",'2026'!F96)</f>
        <v>295</v>
      </c>
      <c r="H96" s="35">
        <f>IF('2026'!G96="","",'2026'!G96)</f>
        <v>204</v>
      </c>
      <c r="I96" s="23">
        <f>IF('2026'!H96="","",'2026'!H96)</f>
        <v>197.88</v>
      </c>
      <c r="J96" s="24">
        <f>IF('2026'!I96="","",'2026'!I96)</f>
        <v>193.79999999999998</v>
      </c>
      <c r="K96" s="25">
        <f>IF('2026'!J96="","",'2026'!J96)</f>
        <v>191.76</v>
      </c>
    </row>
    <row r="97" spans="1:11" x14ac:dyDescent="0.2">
      <c r="A97" s="57">
        <f>IF('2026'!B97="","",'2026'!B97)</f>
        <v>70</v>
      </c>
      <c r="B97" s="239" t="str">
        <f>IF('2026'!C97="","",'2026'!C97)</f>
        <v/>
      </c>
      <c r="C97" s="139" t="str">
        <f>IF('2026'!D97="","",'2026'!D97)</f>
        <v>Colorado River Rock 1.5"</v>
      </c>
      <c r="D97" s="147" t="s">
        <v>372</v>
      </c>
      <c r="E97" s="57" t="str">
        <f>IF('2026'!E97="","",'2026'!E97)</f>
        <v>ton</v>
      </c>
      <c r="F97" s="149">
        <f t="shared" si="9"/>
        <v>0.16250000000000001</v>
      </c>
      <c r="G97" s="159">
        <f>IF('2026'!F97="","",'2026'!F97)</f>
        <v>325</v>
      </c>
      <c r="H97" s="35">
        <f>IF('2026'!G97="","",'2026'!G97)</f>
        <v>232</v>
      </c>
      <c r="I97" s="23">
        <f>IF('2026'!H97="","",'2026'!H97)</f>
        <v>225.04</v>
      </c>
      <c r="J97" s="24">
        <f>IF('2026'!I97="","",'2026'!I97)</f>
        <v>220.39999999999998</v>
      </c>
      <c r="K97" s="25">
        <f>IF('2026'!J97="","",'2026'!J97)</f>
        <v>218.07999999999998</v>
      </c>
    </row>
    <row r="98" spans="1:11" x14ac:dyDescent="0.2">
      <c r="A98" s="57">
        <f>IF('2026'!B98="","",'2026'!B98)</f>
        <v>71</v>
      </c>
      <c r="B98" s="239" t="str">
        <f>IF('2026'!C98="","",'2026'!C98)</f>
        <v/>
      </c>
      <c r="C98" s="139" t="str">
        <f>IF('2026'!D98="","",'2026'!D98)</f>
        <v>Colorado River Rock 2-4"</v>
      </c>
      <c r="D98" s="147" t="s">
        <v>374</v>
      </c>
      <c r="E98" s="57" t="str">
        <f>IF('2026'!E98="","",'2026'!E98)</f>
        <v>ton</v>
      </c>
      <c r="F98" s="149">
        <f t="shared" si="9"/>
        <v>0.16400000000000001</v>
      </c>
      <c r="G98" s="159">
        <f>IF('2026'!F98="","",'2026'!F98)</f>
        <v>328</v>
      </c>
      <c r="H98" s="35">
        <f>IF('2026'!G98="","",'2026'!G98)</f>
        <v>234</v>
      </c>
      <c r="I98" s="23">
        <f>IF('2026'!H98="","",'2026'!H98)</f>
        <v>226.98</v>
      </c>
      <c r="J98" s="24">
        <f>IF('2026'!I98="","",'2026'!I98)</f>
        <v>222.29999999999998</v>
      </c>
      <c r="K98" s="25">
        <f>IF('2026'!J98="","",'2026'!J98)</f>
        <v>219.95999999999998</v>
      </c>
    </row>
    <row r="99" spans="1:11" x14ac:dyDescent="0.2">
      <c r="A99" s="57">
        <f>IF('2026'!B99="","",'2026'!B99)</f>
        <v>72</v>
      </c>
      <c r="B99" s="239" t="str">
        <f>IF('2026'!C99="","",'2026'!C99)</f>
        <v/>
      </c>
      <c r="C99" s="139" t="str">
        <f>IF('2026'!D99="","",'2026'!D99)</f>
        <v>Colorado River Rock 4-8"</v>
      </c>
      <c r="D99" s="147" t="s">
        <v>377</v>
      </c>
      <c r="E99" s="57" t="str">
        <f>IF('2026'!E99="","",'2026'!E99)</f>
        <v>ton</v>
      </c>
      <c r="F99" s="149">
        <f t="shared" si="9"/>
        <v>0.16600000000000001</v>
      </c>
      <c r="G99" s="159">
        <f>IF('2026'!F99="","",'2026'!F99)</f>
        <v>332</v>
      </c>
      <c r="H99" s="35">
        <f>IF('2026'!G99="","",'2026'!G99)</f>
        <v>237</v>
      </c>
      <c r="I99" s="23">
        <f>IF('2026'!H99="","",'2026'!H99)</f>
        <v>229.89</v>
      </c>
      <c r="J99" s="24">
        <f>IF('2026'!I99="","",'2026'!I99)</f>
        <v>225.14999999999998</v>
      </c>
      <c r="K99" s="25">
        <f>IF('2026'!J99="","",'2026'!J99)</f>
        <v>222.78</v>
      </c>
    </row>
    <row r="100" spans="1:11" x14ac:dyDescent="0.2">
      <c r="A100" s="57" t="str">
        <f>IF('2026'!B100="","",'2026'!B100)</f>
        <v>OS</v>
      </c>
      <c r="B100" s="239" t="str">
        <f>IF('2026'!C100="","",'2026'!C100)</f>
        <v/>
      </c>
      <c r="C100" s="139" t="str">
        <f>IF('2026'!D100="","",'2026'!D100)</f>
        <v>Egg Rock 1-4"</v>
      </c>
      <c r="D100" s="147" t="s">
        <v>374</v>
      </c>
      <c r="E100" s="57" t="str">
        <f>IF('2026'!E100="","",'2026'!E100)</f>
        <v>ton</v>
      </c>
      <c r="F100" s="149">
        <f t="shared" ref="F100" si="10">G100/2000</f>
        <v>0.13500000000000001</v>
      </c>
      <c r="G100" s="159">
        <f>IF('2026'!F100="","",'2026'!F100)</f>
        <v>270</v>
      </c>
      <c r="H100" s="35">
        <f>IF('2026'!G100="","",'2026'!G100)</f>
        <v>193</v>
      </c>
      <c r="I100" s="23">
        <f>IF('2026'!H100="","",'2026'!H100)</f>
        <v>187.21</v>
      </c>
      <c r="J100" s="24">
        <f>IF('2026'!I100="","",'2026'!I100)</f>
        <v>183.35</v>
      </c>
      <c r="K100" s="25">
        <f>IF('2026'!J100="","",'2026'!J100)</f>
        <v>181.42</v>
      </c>
    </row>
    <row r="101" spans="1:11" ht="18.75" customHeight="1" x14ac:dyDescent="0.2">
      <c r="A101" s="296" t="s">
        <v>391</v>
      </c>
      <c r="B101" s="296"/>
      <c r="C101" s="296"/>
      <c r="D101" s="296"/>
      <c r="E101" s="296"/>
      <c r="F101" s="296"/>
      <c r="G101" s="296"/>
      <c r="H101" s="48"/>
      <c r="I101" s="48"/>
      <c r="J101" s="48"/>
      <c r="K101" s="48"/>
    </row>
    <row r="102" spans="1:11" x14ac:dyDescent="0.2">
      <c r="A102" s="57">
        <f>IF('2026'!B102="","",'2026'!B102)</f>
        <v>100</v>
      </c>
      <c r="B102" s="239" t="str">
        <f>IF('2026'!C102="","",'2026'!C102)</f>
        <v/>
      </c>
      <c r="C102" s="139" t="str">
        <f>IF('2026'!D102="","",'2026'!D102)</f>
        <v>Ledgestone CE Coping (Gray or Buff)</v>
      </c>
      <c r="D102" s="147" t="s">
        <v>378</v>
      </c>
      <c r="E102" s="57" t="str">
        <f>IF('2026'!E102="","",'2026'!E102)</f>
        <v>each</v>
      </c>
      <c r="F102" s="149"/>
      <c r="G102" s="159">
        <f>IF('2026'!F102="","",'2026'!F102)</f>
        <v>39.550560000000004</v>
      </c>
      <c r="H102" s="35">
        <f>IF('2026'!G102="","",'2026'!G102)</f>
        <v>32.958800000000004</v>
      </c>
      <c r="I102" s="23">
        <f>IF('2026'!H102="","",'2026'!H102)</f>
        <v>31.970036000000004</v>
      </c>
      <c r="J102" s="24">
        <f>IF('2026'!I102="","",'2026'!I102)</f>
        <v>31.310860000000002</v>
      </c>
      <c r="K102" s="25">
        <f>IF('2026'!J102="","",'2026'!J102)</f>
        <v>30.981272000000001</v>
      </c>
    </row>
    <row r="103" spans="1:11" x14ac:dyDescent="0.2">
      <c r="A103" s="57">
        <f>IF('2026'!B103="","",'2026'!B103)</f>
        <v>101</v>
      </c>
      <c r="B103" s="239" t="str">
        <f>IF('2026'!C103="","",'2026'!C103)</f>
        <v/>
      </c>
      <c r="C103" s="139" t="str">
        <f>IF('2026'!D103="","",'2026'!D103)</f>
        <v>Ledgestone Coping (Gray or Buff)</v>
      </c>
      <c r="D103" s="147" t="s">
        <v>378</v>
      </c>
      <c r="E103" s="57" t="str">
        <f>IF('2026'!E103="","",'2026'!E103)</f>
        <v>each</v>
      </c>
      <c r="F103" s="57"/>
      <c r="G103" s="159">
        <f>IF('2026'!F103="","",'2026'!F103)</f>
        <v>38.620800000000003</v>
      </c>
      <c r="H103" s="35">
        <f>IF('2026'!G103="","",'2026'!G103)</f>
        <v>32.184000000000005</v>
      </c>
      <c r="I103" s="23">
        <f>IF('2026'!H103="","",'2026'!H103)</f>
        <v>31.218480000000003</v>
      </c>
      <c r="J103" s="24">
        <f>IF('2026'!I103="","",'2026'!I103)</f>
        <v>30.574800000000003</v>
      </c>
      <c r="K103" s="25">
        <f>IF('2026'!J103="","",'2026'!J103)</f>
        <v>30.252960000000002</v>
      </c>
    </row>
    <row r="104" spans="1:11" x14ac:dyDescent="0.2">
      <c r="A104" s="57">
        <f>IF('2026'!B104="","",'2026'!B104)</f>
        <v>102</v>
      </c>
      <c r="B104" s="239" t="str">
        <f>IF('2026'!C104="","",'2026'!C104)</f>
        <v/>
      </c>
      <c r="C104" s="139" t="str">
        <f>IF('2026'!D104="","",'2026'!D104)</f>
        <v>Ledgestone Firepit Coping (Buff)</v>
      </c>
      <c r="D104" s="147" t="s">
        <v>783</v>
      </c>
      <c r="E104" s="57" t="str">
        <f>IF('2026'!E104="","",'2026'!E104)</f>
        <v>each</v>
      </c>
      <c r="F104" s="57"/>
      <c r="G104" s="159">
        <f>IF('2026'!F104="","",'2026'!F104)</f>
        <v>43.91328</v>
      </c>
      <c r="H104" s="191"/>
      <c r="I104" s="192"/>
      <c r="J104" s="193"/>
      <c r="K104" s="194"/>
    </row>
    <row r="105" spans="1:11" x14ac:dyDescent="0.2">
      <c r="A105" s="57">
        <f>IF('2026'!B105="","",'2026'!B105)</f>
        <v>103</v>
      </c>
      <c r="B105" s="239" t="str">
        <f>IF('2026'!C105="","",'2026'!C105)</f>
        <v/>
      </c>
      <c r="C105" s="139" t="str">
        <f>IF('2026'!D105="","",'2026'!D105)</f>
        <v>Ledgestone Pillar Cap 24x24x4 (Gray or Buff)</v>
      </c>
      <c r="D105" s="147" t="s">
        <v>379</v>
      </c>
      <c r="E105" s="57" t="str">
        <f>IF('2026'!E105="","",'2026'!E105)</f>
        <v>each</v>
      </c>
      <c r="F105" s="57"/>
      <c r="G105" s="159">
        <f>IF('2026'!F105="","",'2026'!F105)</f>
        <v>180.90984</v>
      </c>
      <c r="H105" s="35">
        <f>IF('2026'!G105="","",'2026'!G105)</f>
        <v>150.75820000000002</v>
      </c>
      <c r="I105" s="23">
        <f>IF('2026'!H105="","",'2026'!H105)</f>
        <v>146.235454</v>
      </c>
      <c r="J105" s="24">
        <f>IF('2026'!I105="","",'2026'!I105)</f>
        <v>143.22029000000001</v>
      </c>
      <c r="K105" s="25">
        <f>IF('2026'!J105="","",'2026'!J105)</f>
        <v>141.71270800000002</v>
      </c>
    </row>
    <row r="106" spans="1:11" x14ac:dyDescent="0.2">
      <c r="A106" s="57">
        <f>IF('2026'!B106="","",'2026'!B106)</f>
        <v>104</v>
      </c>
      <c r="B106" s="239" t="str">
        <f>IF('2026'!C106="","",'2026'!C106)</f>
        <v/>
      </c>
      <c r="C106" s="139" t="str">
        <f>IF('2026'!D106="","",'2026'!D106)</f>
        <v>Ledgestone Pillar Cap 28x28x4 (Gray or Buff)</v>
      </c>
      <c r="D106" s="147" t="s">
        <v>380</v>
      </c>
      <c r="E106" s="57" t="str">
        <f>IF('2026'!E106="","",'2026'!E106)</f>
        <v>each</v>
      </c>
      <c r="F106" s="57"/>
      <c r="G106" s="159">
        <f>IF('2026'!F106="","",'2026'!F106)</f>
        <v>274.90499999999997</v>
      </c>
      <c r="H106" s="35">
        <f>IF('2026'!G106="","",'2026'!G106)</f>
        <v>229.08750000000001</v>
      </c>
      <c r="I106" s="23">
        <f>IF('2026'!H106="","",'2026'!H106)</f>
        <v>222.21487500000001</v>
      </c>
      <c r="J106" s="24">
        <f>IF('2026'!I106="","",'2026'!I106)</f>
        <v>217.63312500000001</v>
      </c>
      <c r="K106" s="25">
        <f>IF('2026'!J106="","",'2026'!J106)</f>
        <v>215.34225000000001</v>
      </c>
    </row>
    <row r="107" spans="1:11" x14ac:dyDescent="0.2">
      <c r="A107" s="57">
        <f>IF('2026'!B107="","",'2026'!B107)</f>
        <v>105</v>
      </c>
      <c r="B107" s="239" t="str">
        <f>IF('2026'!C107="","",'2026'!C107)</f>
        <v/>
      </c>
      <c r="C107" s="139" t="str">
        <f>IF('2026'!D107="","",'2026'!D107)</f>
        <v>Weston Universal (Brittany Beige)</v>
      </c>
      <c r="D107" s="147" t="s">
        <v>382</v>
      </c>
      <c r="E107" s="57" t="str">
        <f>IF('2026'!E107="","",'2026'!E107)</f>
        <v>each</v>
      </c>
      <c r="F107" s="57"/>
      <c r="G107" s="159">
        <f>IF('2026'!F107="","",'2026'!F107)</f>
        <v>6.19</v>
      </c>
      <c r="H107" s="35">
        <f>IF('2026'!G107="","",'2026'!G107)</f>
        <v>5.16</v>
      </c>
      <c r="I107" s="23">
        <f>IF('2026'!H107="","",'2026'!H107)</f>
        <v>5.0052000000000003</v>
      </c>
      <c r="J107" s="24">
        <f>IF('2026'!I107="","",'2026'!I107)</f>
        <v>4.9020000000000001</v>
      </c>
      <c r="K107" s="25">
        <f>IF('2026'!J107="","",'2026'!J107)</f>
        <v>4.8503999999999996</v>
      </c>
    </row>
    <row r="108" spans="1:11" x14ac:dyDescent="0.2">
      <c r="A108" s="57">
        <f>IF('2026'!B108="","",'2026'!B108)</f>
        <v>106</v>
      </c>
      <c r="B108" s="239" t="str">
        <f>IF('2026'!C108="","",'2026'!C108)</f>
        <v/>
      </c>
      <c r="C108" s="139" t="str">
        <f>IF('2026'!D108="","",'2026'!D108)</f>
        <v>Weston Universal (Black Diamond)</v>
      </c>
      <c r="D108" s="147" t="s">
        <v>382</v>
      </c>
      <c r="E108" s="57" t="str">
        <f>IF('2026'!E108="","",'2026'!E108)</f>
        <v>each</v>
      </c>
      <c r="F108" s="57"/>
      <c r="G108" s="159">
        <f>IF('2026'!F108="","",'2026'!F108)</f>
        <v>6.19</v>
      </c>
      <c r="H108" s="35">
        <f>IF('2026'!G108="","",'2026'!G108)</f>
        <v>5.16</v>
      </c>
      <c r="I108" s="23">
        <f>IF('2026'!H108="","",'2026'!H108)</f>
        <v>5.0052000000000003</v>
      </c>
      <c r="J108" s="24">
        <f>IF('2026'!I108="","",'2026'!I108)</f>
        <v>4.9020000000000001</v>
      </c>
      <c r="K108" s="25">
        <f>IF('2026'!J108="","",'2026'!J108)</f>
        <v>4.8503999999999996</v>
      </c>
    </row>
    <row r="109" spans="1:11" x14ac:dyDescent="0.2">
      <c r="A109" s="57">
        <f>IF('2026'!B109="","",'2026'!B109)</f>
        <v>107</v>
      </c>
      <c r="B109" s="239" t="str">
        <f>IF('2026'!C109="","",'2026'!C109)</f>
        <v/>
      </c>
      <c r="C109" s="139" t="str">
        <f>IF('2026'!D109="","",'2026'!D109)</f>
        <v>Copthorne - Red, Basalt, Blue Steel (.15 sqft each)</v>
      </c>
      <c r="D109" s="147" t="s">
        <v>381</v>
      </c>
      <c r="E109" s="57" t="str">
        <f>IF('2026'!E109="","",'2026'!E109)</f>
        <v>each</v>
      </c>
      <c r="F109" s="57"/>
      <c r="G109" s="159">
        <f>IF('2026'!F109="","",'2026'!F109)</f>
        <v>2.4</v>
      </c>
      <c r="H109" s="191"/>
      <c r="I109" s="192"/>
      <c r="J109" s="193"/>
      <c r="K109" s="194"/>
    </row>
    <row r="110" spans="1:11" x14ac:dyDescent="0.2">
      <c r="A110" s="57">
        <f>IF('2026'!B110="","",'2026'!B110)</f>
        <v>108</v>
      </c>
      <c r="B110" s="239" t="str">
        <f>IF('2026'!C110="","",'2026'!C110)</f>
        <v/>
      </c>
      <c r="C110" s="139" t="str">
        <f>IF('2026'!D110="","",'2026'!D110)</f>
        <v>Brussels Dimensional Stone - Limestone</v>
      </c>
      <c r="D110" s="147" t="s">
        <v>775</v>
      </c>
      <c r="E110" s="57" t="str">
        <f>IF('2026'!E110="","",'2026'!E110)</f>
        <v>each</v>
      </c>
      <c r="F110" s="57"/>
      <c r="G110" s="159">
        <f>IF('2026'!F110="","",'2026'!F110)</f>
        <v>6.9</v>
      </c>
      <c r="H110" s="35">
        <f>IF('2026'!G110="","",'2026'!G110)</f>
        <v>5.75</v>
      </c>
      <c r="I110" s="23">
        <f>IF('2026'!H110="","",'2026'!H110)</f>
        <v>5.5774999999999997</v>
      </c>
      <c r="J110" s="24">
        <f>IF('2026'!I110="","",'2026'!I110)</f>
        <v>5.4624999999999995</v>
      </c>
      <c r="K110" s="25">
        <f>IF('2026'!J110="","",'2026'!J110)</f>
        <v>5.4049999999999994</v>
      </c>
    </row>
    <row r="111" spans="1:11" x14ac:dyDescent="0.2">
      <c r="A111" s="20"/>
      <c r="B111" s="49"/>
      <c r="C111" s="2" t="s">
        <v>106</v>
      </c>
      <c r="D111" s="20"/>
      <c r="E111" s="14"/>
      <c r="F111" s="14"/>
      <c r="G111" s="14"/>
      <c r="H111" s="48"/>
      <c r="I111" s="48"/>
      <c r="J111" s="48"/>
      <c r="K111" s="48"/>
    </row>
    <row r="112" spans="1:11" x14ac:dyDescent="0.2">
      <c r="A112" s="299" t="s">
        <v>224</v>
      </c>
      <c r="B112" s="300"/>
      <c r="C112" s="300"/>
      <c r="D112" s="300"/>
      <c r="E112" s="300"/>
      <c r="F112" s="300"/>
      <c r="G112" s="300"/>
      <c r="H112" s="300"/>
      <c r="I112" s="300"/>
      <c r="J112" s="300"/>
      <c r="K112" s="301"/>
    </row>
    <row r="113" spans="1:11" x14ac:dyDescent="0.2">
      <c r="A113" s="57" t="str">
        <f>IF('2026'!B113="","",'2026'!B113)</f>
        <v/>
      </c>
      <c r="B113" s="239" t="str">
        <f>IF('2026'!C113="","",'2026'!C113)</f>
        <v/>
      </c>
      <c r="C113" s="139" t="str">
        <f>IF('2026'!D113="","",'2026'!D113)</f>
        <v xml:space="preserve">   Eco Series - Quarry FLATS</v>
      </c>
      <c r="D113" s="146"/>
      <c r="E113" s="57" t="str">
        <f>IF('2026'!E113="","",'2026'!E113)</f>
        <v>Sq Ft</v>
      </c>
      <c r="F113" s="57"/>
      <c r="G113" s="159">
        <f>IF('2026'!F113="","",'2026'!F113)</f>
        <v>8.75</v>
      </c>
      <c r="H113" s="35">
        <f>IF('2026'!G113="","",'2026'!G113)</f>
        <v>7.5</v>
      </c>
      <c r="I113" s="23">
        <f>IF('2026'!H113="","",'2026'!H113)</f>
        <v>7.2749999999999995</v>
      </c>
      <c r="J113" s="24">
        <f>IF('2026'!I113="","",'2026'!I113)</f>
        <v>7.125</v>
      </c>
      <c r="K113" s="25">
        <f>IF('2026'!J113="","",'2026'!J113)</f>
        <v>7.05</v>
      </c>
    </row>
    <row r="114" spans="1:11" x14ac:dyDescent="0.2">
      <c r="A114" s="57" t="str">
        <f>IF('2026'!B114="","",'2026'!B114)</f>
        <v/>
      </c>
      <c r="B114" s="239" t="str">
        <f>IF('2026'!C114="","",'2026'!C114)</f>
        <v/>
      </c>
      <c r="C114" s="139" t="str">
        <f>IF('2026'!D114="","",'2026'!D114)</f>
        <v xml:space="preserve">   Eco Series - Quarry CORNERS</v>
      </c>
      <c r="D114" s="146"/>
      <c r="E114" s="57" t="str">
        <f>IF('2026'!E114="","",'2026'!E114)</f>
        <v>Ln Ft</v>
      </c>
      <c r="F114" s="57"/>
      <c r="G114" s="159">
        <f>IF('2026'!F114="","",'2026'!F114)</f>
        <v>13.25</v>
      </c>
      <c r="H114" s="35">
        <f>IF('2026'!G114="","",'2026'!G114)</f>
        <v>11.25</v>
      </c>
      <c r="I114" s="23">
        <f>IF('2026'!H114="","",'2026'!H114)</f>
        <v>10.9125</v>
      </c>
      <c r="J114" s="24">
        <f>IF('2026'!I114="","",'2026'!I114)</f>
        <v>10.6875</v>
      </c>
      <c r="K114" s="25">
        <f>IF('2026'!J114="","",'2026'!J114)</f>
        <v>10.574999999999999</v>
      </c>
    </row>
    <row r="115" spans="1:11" x14ac:dyDescent="0.2">
      <c r="A115" s="57" t="str">
        <f>IF('2026'!B115="","",'2026'!B115)</f>
        <v/>
      </c>
      <c r="B115" s="239" t="str">
        <f>IF('2026'!C115="","",'2026'!C115)</f>
        <v/>
      </c>
      <c r="C115" s="139" t="str">
        <f>IF('2026'!D115="","",'2026'!D115)</f>
        <v xml:space="preserve">   Eco Series - Vieux FLATS</v>
      </c>
      <c r="D115" s="146"/>
      <c r="E115" s="57" t="str">
        <f>IF('2026'!E115="","",'2026'!E115)</f>
        <v>Sq Ft</v>
      </c>
      <c r="F115" s="57"/>
      <c r="G115" s="159">
        <f>IF('2026'!F115="","",'2026'!F115)</f>
        <v>9</v>
      </c>
      <c r="H115" s="35">
        <f>IF('2026'!G115="","",'2026'!G115)</f>
        <v>7.75</v>
      </c>
      <c r="I115" s="23">
        <f>IF('2026'!H115="","",'2026'!H115)</f>
        <v>7.5175000000000001</v>
      </c>
      <c r="J115" s="24">
        <f>IF('2026'!I115="","",'2026'!I115)</f>
        <v>7.3624999999999998</v>
      </c>
      <c r="K115" s="25">
        <f>IF('2026'!J115="","",'2026'!J115)</f>
        <v>7.2849999999999993</v>
      </c>
    </row>
    <row r="116" spans="1:11" x14ac:dyDescent="0.2">
      <c r="A116" s="57" t="str">
        <f>IF('2026'!B116="","",'2026'!B116)</f>
        <v/>
      </c>
      <c r="B116" s="239" t="str">
        <f>IF('2026'!C116="","",'2026'!C116)</f>
        <v/>
      </c>
      <c r="C116" s="139" t="str">
        <f>IF('2026'!D116="","",'2026'!D116)</f>
        <v xml:space="preserve">   Eco Series - Vieux CORNERS</v>
      </c>
      <c r="D116" s="146"/>
      <c r="E116" s="57" t="str">
        <f>IF('2026'!E116="","",'2026'!E116)</f>
        <v>Ln Ft</v>
      </c>
      <c r="F116" s="57"/>
      <c r="G116" s="159">
        <f>IF('2026'!F116="","",'2026'!F116)</f>
        <v>13.75</v>
      </c>
      <c r="H116" s="35">
        <f>IF('2026'!G116="","",'2026'!G116)</f>
        <v>11.75</v>
      </c>
      <c r="I116" s="23">
        <f>IF('2026'!H116="","",'2026'!H116)</f>
        <v>11.397499999999999</v>
      </c>
      <c r="J116" s="24">
        <f>IF('2026'!I116="","",'2026'!I116)</f>
        <v>11.1625</v>
      </c>
      <c r="K116" s="25">
        <f>IF('2026'!J116="","",'2026'!J116)</f>
        <v>11.045</v>
      </c>
    </row>
    <row r="117" spans="1:11" x14ac:dyDescent="0.2">
      <c r="A117" s="57" t="str">
        <f>IF('2026'!B117="","",'2026'!B117)</f>
        <v/>
      </c>
      <c r="B117" s="239" t="str">
        <f>IF('2026'!C117="","",'2026'!C117)</f>
        <v/>
      </c>
      <c r="C117" s="139" t="str">
        <f>IF('2026'!D117="","",'2026'!D117)</f>
        <v xml:space="preserve">   Eco Series - Wood FLATS</v>
      </c>
      <c r="D117" s="146"/>
      <c r="E117" s="57" t="str">
        <f>IF('2026'!E117="","",'2026'!E117)</f>
        <v>Sq Ft</v>
      </c>
      <c r="F117" s="57"/>
      <c r="G117" s="159">
        <f>IF('2026'!F117="","",'2026'!F117)</f>
        <v>8.5</v>
      </c>
      <c r="H117" s="35">
        <f>IF('2026'!G117="","",'2026'!G117)</f>
        <v>7.25</v>
      </c>
      <c r="I117" s="23">
        <f>IF('2026'!H117="","",'2026'!H117)</f>
        <v>7.0324999999999998</v>
      </c>
      <c r="J117" s="24">
        <f>IF('2026'!I117="","",'2026'!I117)</f>
        <v>6.8874999999999993</v>
      </c>
      <c r="K117" s="25">
        <f>IF('2026'!J117="","",'2026'!J117)</f>
        <v>6.8149999999999995</v>
      </c>
    </row>
    <row r="118" spans="1:11" x14ac:dyDescent="0.2">
      <c r="A118" s="57" t="str">
        <f>IF('2026'!B118="","",'2026'!B118)</f>
        <v/>
      </c>
      <c r="B118" s="239" t="str">
        <f>IF('2026'!C118="","",'2026'!C118)</f>
        <v/>
      </c>
      <c r="C118" s="139" t="str">
        <f>IF('2026'!D118="","",'2026'!D118)</f>
        <v xml:space="preserve">   Eco Series - Wood CORNERS</v>
      </c>
      <c r="D118" s="146"/>
      <c r="E118" s="57" t="str">
        <f>IF('2026'!E118="","",'2026'!E118)</f>
        <v>Ln Ft</v>
      </c>
      <c r="F118" s="57"/>
      <c r="G118" s="159">
        <f>IF('2026'!F118="","",'2026'!F118)</f>
        <v>13</v>
      </c>
      <c r="H118" s="35">
        <f>IF('2026'!G118="","",'2026'!G118)</f>
        <v>11</v>
      </c>
      <c r="I118" s="23">
        <f>IF('2026'!H118="","",'2026'!H118)</f>
        <v>10.67</v>
      </c>
      <c r="J118" s="24">
        <f>IF('2026'!I118="","",'2026'!I118)</f>
        <v>10.45</v>
      </c>
      <c r="K118" s="25">
        <f>IF('2026'!J118="","",'2026'!J118)</f>
        <v>10.34</v>
      </c>
    </row>
    <row r="119" spans="1:11" x14ac:dyDescent="0.2">
      <c r="A119" s="57" t="str">
        <f>IF('2026'!B119="","",'2026'!B119)</f>
        <v/>
      </c>
      <c r="B119" s="239" t="str">
        <f>IF('2026'!C119="","",'2026'!C119)</f>
        <v/>
      </c>
      <c r="C119" s="139" t="str">
        <f>IF('2026'!D119="","",'2026'!D119)</f>
        <v xml:space="preserve">   Eco Series - Pewter Column Caps</v>
      </c>
      <c r="D119" s="147" t="s">
        <v>383</v>
      </c>
      <c r="E119" s="57" t="str">
        <f>IF('2026'!E119="","",'2026'!E119)</f>
        <v>Each</v>
      </c>
      <c r="F119" s="57"/>
      <c r="G119" s="159">
        <f>IF('2026'!F119="","",'2026'!F119)</f>
        <v>90</v>
      </c>
      <c r="H119" s="35">
        <f>IF('2026'!G119="","",'2026'!G119)</f>
        <v>75</v>
      </c>
      <c r="I119" s="23">
        <f>IF('2026'!H119="","",'2026'!H119)</f>
        <v>72.75</v>
      </c>
      <c r="J119" s="24">
        <f>IF('2026'!I119="","",'2026'!I119)</f>
        <v>71.25</v>
      </c>
      <c r="K119" s="25">
        <f>IF('2026'!J119="","",'2026'!J119)</f>
        <v>70.5</v>
      </c>
    </row>
    <row r="120" spans="1:11" x14ac:dyDescent="0.2">
      <c r="A120" s="57" t="str">
        <f>IF('2026'!B120="","",'2026'!B120)</f>
        <v/>
      </c>
      <c r="B120" s="239" t="str">
        <f>IF('2026'!C120="","",'2026'!C120)</f>
        <v/>
      </c>
      <c r="C120" s="139" t="str">
        <f>IF('2026'!D120="","",'2026'!D120)</f>
        <v xml:space="preserve">   Eco Series - Pewter Sills</v>
      </c>
      <c r="D120" s="147" t="s">
        <v>384</v>
      </c>
      <c r="E120" s="57" t="str">
        <f>IF('2026'!E120="","",'2026'!E120)</f>
        <v>Each</v>
      </c>
      <c r="F120" s="57"/>
      <c r="G120" s="159">
        <f>IF('2026'!F120="","",'2026'!F120)</f>
        <v>14</v>
      </c>
      <c r="H120" s="35">
        <f>IF('2026'!G120="","",'2026'!G120)</f>
        <v>10</v>
      </c>
      <c r="I120" s="23">
        <f>IF('2026'!H120="","",'2026'!H120)</f>
        <v>9.6999999999999993</v>
      </c>
      <c r="J120" s="24">
        <f>IF('2026'!I120="","",'2026'!I120)</f>
        <v>9.5</v>
      </c>
      <c r="K120" s="25">
        <f>IF('2026'!J120="","",'2026'!J120)</f>
        <v>9.3999999999999986</v>
      </c>
    </row>
    <row r="121" spans="1:11" hidden="1" x14ac:dyDescent="0.2">
      <c r="A121" s="299" t="s">
        <v>360</v>
      </c>
      <c r="B121" s="302"/>
      <c r="C121" s="302"/>
      <c r="D121" s="302"/>
      <c r="E121" s="302"/>
      <c r="F121" s="302"/>
      <c r="G121" s="302"/>
      <c r="H121" s="302"/>
      <c r="I121" s="302"/>
      <c r="J121" s="302"/>
      <c r="K121" s="303"/>
    </row>
    <row r="122" spans="1:11" hidden="1" x14ac:dyDescent="0.2">
      <c r="A122" s="57" t="str">
        <f>IF('2026'!B122="","",'2026'!B122)</f>
        <v/>
      </c>
      <c r="B122" s="239" t="str">
        <f>IF('2026'!C122="","",'2026'!C122)</f>
        <v/>
      </c>
      <c r="C122" s="139" t="str">
        <f>IF('2026'!D122="","",'2026'!D122)</f>
        <v xml:space="preserve">   Manufactured Veneer - All Lines - Flats/SF</v>
      </c>
      <c r="D122" s="57"/>
      <c r="E122" s="57" t="str">
        <f>IF('2026'!E122="","",'2026'!E122)</f>
        <v/>
      </c>
      <c r="F122" s="57"/>
      <c r="G122" s="159" t="str">
        <f>IF('2026'!F122="","",'2026'!F122)</f>
        <v/>
      </c>
      <c r="H122" s="35" t="str">
        <f>IF('2026'!G122="","",'2026'!G122)</f>
        <v/>
      </c>
      <c r="I122" s="23" t="str">
        <f>IF('2026'!H122="","",'2026'!H122)</f>
        <v/>
      </c>
      <c r="J122" s="24" t="str">
        <f>IF('2026'!I122="","",'2026'!I122)</f>
        <v/>
      </c>
      <c r="K122" s="25" t="str">
        <f>IF('2026'!J122="","",'2026'!J122)</f>
        <v/>
      </c>
    </row>
    <row r="123" spans="1:11" hidden="1" x14ac:dyDescent="0.2">
      <c r="A123" s="57" t="str">
        <f>IF('2026'!B123="","",'2026'!B123)</f>
        <v/>
      </c>
      <c r="B123" s="239" t="str">
        <f>IF('2026'!C123="","",'2026'!C123)</f>
        <v/>
      </c>
      <c r="C123" s="139" t="str">
        <f>IF('2026'!D123="","",'2026'!D123)</f>
        <v xml:space="preserve">   Manufactured Veneer - All Lines - Corners/LN</v>
      </c>
      <c r="D123" s="57"/>
      <c r="E123" s="57" t="str">
        <f>IF('2026'!E123="","",'2026'!E123)</f>
        <v/>
      </c>
      <c r="F123" s="57"/>
      <c r="G123" s="159" t="str">
        <f>IF('2026'!F123="","",'2026'!F123)</f>
        <v/>
      </c>
      <c r="H123" s="35" t="str">
        <f>IF('2026'!G123="","",'2026'!G123)</f>
        <v/>
      </c>
      <c r="I123" s="23" t="str">
        <f>IF('2026'!H123="","",'2026'!H123)</f>
        <v/>
      </c>
      <c r="J123" s="24" t="str">
        <f>IF('2026'!I123="","",'2026'!I123)</f>
        <v/>
      </c>
      <c r="K123" s="25" t="str">
        <f>IF('2026'!J123="","",'2026'!J123)</f>
        <v/>
      </c>
    </row>
    <row r="124" spans="1:11" x14ac:dyDescent="0.2">
      <c r="A124" s="20"/>
      <c r="B124" s="49"/>
      <c r="C124" s="2" t="s">
        <v>109</v>
      </c>
      <c r="D124" s="20"/>
      <c r="E124" s="14"/>
      <c r="F124" s="14"/>
      <c r="G124" s="14"/>
      <c r="H124" s="48"/>
      <c r="I124" s="48"/>
      <c r="J124" s="48"/>
      <c r="K124" s="48"/>
    </row>
    <row r="125" spans="1:11" x14ac:dyDescent="0.2">
      <c r="A125" s="57" t="str">
        <f>IF('2026'!B125="","",'2026'!B125)</f>
        <v/>
      </c>
      <c r="B125" s="239" t="str">
        <f>IF('2026'!C125="","",'2026'!C125)</f>
        <v/>
      </c>
      <c r="C125" s="139" t="str">
        <f>IF('2026'!D125="","",'2026'!D125)</f>
        <v>Pulverized Black Gold Topsoil</v>
      </c>
      <c r="D125" s="289" t="s">
        <v>385</v>
      </c>
      <c r="E125" s="57" t="str">
        <f>IF('2026'!E125="","",'2026'!E125)</f>
        <v>ton</v>
      </c>
      <c r="F125" s="149">
        <f t="shared" ref="F125:F130" si="11">G125/2000</f>
        <v>3.7999999999999999E-2</v>
      </c>
      <c r="G125" s="159">
        <f>IF('2026'!F125="","",'2026'!F125)</f>
        <v>76</v>
      </c>
      <c r="H125" s="35">
        <f>IF('2026'!G125="","",'2026'!G125)</f>
        <v>56</v>
      </c>
      <c r="I125" s="23">
        <f>IF('2026'!H125="","",'2026'!H125)</f>
        <v>54.32</v>
      </c>
      <c r="J125" s="24">
        <f>IF('2026'!I125="","",'2026'!I125)</f>
        <v>53.199999999999996</v>
      </c>
      <c r="K125" s="25">
        <f>IF('2026'!J125="","",'2026'!J125)</f>
        <v>52.64</v>
      </c>
    </row>
    <row r="126" spans="1:11" x14ac:dyDescent="0.2">
      <c r="A126" s="57" t="str">
        <f>IF('2026'!B126="","",'2026'!B126)</f>
        <v/>
      </c>
      <c r="B126" s="239" t="str">
        <f>IF('2026'!C126="","",'2026'!C126)</f>
        <v/>
      </c>
      <c r="C126" s="139" t="str">
        <f>IF('2026'!D126="","",'2026'!D126)</f>
        <v>Planting Mix: BG topsoil/compost/sand</v>
      </c>
      <c r="D126" s="292"/>
      <c r="E126" s="57" t="str">
        <f>IF('2026'!E126="","",'2026'!E126)</f>
        <v>ton</v>
      </c>
      <c r="F126" s="149">
        <f t="shared" si="11"/>
        <v>4.8000000000000001E-2</v>
      </c>
      <c r="G126" s="159">
        <f>IF('2026'!F126="","",'2026'!F126)</f>
        <v>96</v>
      </c>
      <c r="H126" s="35">
        <f>IF('2026'!G126="","",'2026'!G126)</f>
        <v>86</v>
      </c>
      <c r="I126" s="23">
        <f>IF('2026'!H126="","",'2026'!H126)</f>
        <v>83.42</v>
      </c>
      <c r="J126" s="24">
        <f>IF('2026'!I126="","",'2026'!I126)</f>
        <v>81.7</v>
      </c>
      <c r="K126" s="25">
        <f>IF('2026'!J126="","",'2026'!J126)</f>
        <v>80.839999999999989</v>
      </c>
    </row>
    <row r="127" spans="1:11" x14ac:dyDescent="0.2">
      <c r="A127" s="57" t="str">
        <f>IF('2026'!B127="","",'2026'!B127)</f>
        <v/>
      </c>
      <c r="B127" s="239" t="str">
        <f>IF('2026'!C127="","",'2026'!C127)</f>
        <v/>
      </c>
      <c r="C127" s="139" t="str">
        <f>IF('2026'!D127="","",'2026'!D127)</f>
        <v>Nature's Finest Compost</v>
      </c>
      <c r="D127" s="292"/>
      <c r="E127" s="57" t="str">
        <f>IF('2026'!E127="","",'2026'!E127)</f>
        <v>yard</v>
      </c>
      <c r="F127" s="149"/>
      <c r="G127" s="159">
        <f>IF('2026'!F127="","",'2026'!F127)</f>
        <v>73</v>
      </c>
      <c r="H127" s="35">
        <f>IF('2026'!G127="","",'2026'!G127)</f>
        <v>56</v>
      </c>
      <c r="I127" s="23">
        <f>IF('2026'!H127="","",'2026'!H127)</f>
        <v>54.32</v>
      </c>
      <c r="J127" s="24">
        <f>IF('2026'!I127="","",'2026'!I127)</f>
        <v>53.199999999999996</v>
      </c>
      <c r="K127" s="25">
        <f>IF('2026'!J127="","",'2026'!J127)</f>
        <v>52.64</v>
      </c>
    </row>
    <row r="128" spans="1:11" x14ac:dyDescent="0.2">
      <c r="A128" s="57" t="str">
        <f>IF('2026'!B128="","",'2026'!B128)</f>
        <v/>
      </c>
      <c r="B128" s="239" t="str">
        <f>IF('2026'!C128="","",'2026'!C128)</f>
        <v/>
      </c>
      <c r="C128" s="139" t="str">
        <f>IF('2026'!D128="","",'2026'!D128)</f>
        <v>Unprocessed: sticks, rocks, clods, organic debris</v>
      </c>
      <c r="D128" s="292"/>
      <c r="E128" s="57" t="str">
        <f>IF('2026'!E128="","",'2026'!E128)</f>
        <v>ton</v>
      </c>
      <c r="F128" s="149">
        <f t="shared" ref="F128" si="12">G128/2000</f>
        <v>2.3E-2</v>
      </c>
      <c r="G128" s="159">
        <f>IF('2026'!F128="","",'2026'!F128)</f>
        <v>46</v>
      </c>
      <c r="H128" s="35">
        <f>IF('2026'!G128="","",'2026'!G128)</f>
        <v>36</v>
      </c>
      <c r="I128" s="23">
        <f>IF('2026'!H128="","",'2026'!H128)</f>
        <v>34.92</v>
      </c>
      <c r="J128" s="24">
        <f>IF('2026'!I128="","",'2026'!I128)</f>
        <v>34.199999999999996</v>
      </c>
      <c r="K128" s="25">
        <f>IF('2026'!J128="","",'2026'!J128)</f>
        <v>33.839999999999996</v>
      </c>
    </row>
    <row r="129" spans="1:11" x14ac:dyDescent="0.2">
      <c r="A129" s="57" t="str">
        <f>IF('2026'!B129="","",'2026'!B129)</f>
        <v/>
      </c>
      <c r="B129" s="239" t="str">
        <f>IF('2026'!C129="","",'2026'!C129)</f>
        <v/>
      </c>
      <c r="C129" s="139" t="str">
        <f>IF('2026'!D129="","",'2026'!D129)</f>
        <v>Fill Dirt: sticks, rocks, clods, debris</v>
      </c>
      <c r="D129" s="292"/>
      <c r="E129" s="57" t="str">
        <f>IF('2026'!E129="","",'2026'!E129)</f>
        <v>ton</v>
      </c>
      <c r="F129" s="149">
        <f t="shared" ref="F129" si="13">G129/2000</f>
        <v>1.7999999999999999E-2</v>
      </c>
      <c r="G129" s="159">
        <f>IF('2026'!F129="","",'2026'!F129)</f>
        <v>36</v>
      </c>
      <c r="H129" s="35">
        <f>IF('2026'!G129="","",'2026'!G129)</f>
        <v>26</v>
      </c>
      <c r="I129" s="23">
        <f>IF('2026'!H129="","",'2026'!H129)</f>
        <v>25.22</v>
      </c>
      <c r="J129" s="24">
        <f>IF('2026'!I129="","",'2026'!I129)</f>
        <v>24.7</v>
      </c>
      <c r="K129" s="25">
        <f>IF('2026'!J129="","",'2026'!J129)</f>
        <v>24.439999999999998</v>
      </c>
    </row>
    <row r="130" spans="1:11" x14ac:dyDescent="0.2">
      <c r="A130" s="57" t="str">
        <f>IF('2026'!B130="","",'2026'!B130)</f>
        <v/>
      </c>
      <c r="B130" s="239" t="str">
        <f>IF('2026'!C130="","",'2026'!C130)</f>
        <v/>
      </c>
      <c r="C130" s="139" t="str">
        <f>IF('2026'!D130="","",'2026'!D130)</f>
        <v>Sandy Loam  * Limited Quantity Available *</v>
      </c>
      <c r="D130" s="293"/>
      <c r="E130" s="57" t="str">
        <f>IF('2026'!E130="","",'2026'!E130)</f>
        <v>ton</v>
      </c>
      <c r="F130" s="149">
        <f t="shared" si="11"/>
        <v>2.1000000000000001E-2</v>
      </c>
      <c r="G130" s="159">
        <f>IF('2026'!F130="","",'2026'!F130)</f>
        <v>42</v>
      </c>
      <c r="H130" s="35">
        <f>IF('2026'!G130="","",'2026'!G130)</f>
        <v>32</v>
      </c>
      <c r="I130" s="23">
        <f>IF('2026'!H130="","",'2026'!H130)</f>
        <v>31.04</v>
      </c>
      <c r="J130" s="24">
        <f>IF('2026'!I130="","",'2026'!I130)</f>
        <v>30.4</v>
      </c>
      <c r="K130" s="25">
        <f>IF('2026'!J130="","",'2026'!J130)</f>
        <v>30.08</v>
      </c>
    </row>
    <row r="131" spans="1:11" x14ac:dyDescent="0.2">
      <c r="A131" s="20"/>
      <c r="B131" s="49"/>
      <c r="C131" s="2" t="s">
        <v>114</v>
      </c>
      <c r="D131" s="20"/>
      <c r="E131" s="20"/>
      <c r="F131" s="20"/>
      <c r="G131" s="14"/>
      <c r="H131" s="50"/>
      <c r="I131" s="50"/>
      <c r="J131" s="50"/>
      <c r="K131" s="50"/>
    </row>
    <row r="132" spans="1:11" ht="12" customHeight="1" x14ac:dyDescent="0.2">
      <c r="A132" s="12" t="str">
        <f>IF('2026'!B132="","",'2026'!B132)</f>
        <v/>
      </c>
      <c r="B132" s="249" t="str">
        <f>IF('2026'!C132="","",'2026'!C132)</f>
        <v/>
      </c>
      <c r="C132" s="69" t="str">
        <f>IF('2026'!D132="","",'2026'!D132)</f>
        <v>Hardwood</v>
      </c>
      <c r="D132" s="289" t="s">
        <v>392</v>
      </c>
      <c r="E132" s="12" t="str">
        <f>IF('2026'!E132="","",'2026'!E132)</f>
        <v>cu yd</v>
      </c>
      <c r="F132" s="12"/>
      <c r="G132" s="159">
        <f>IF('2026'!F132="","",'2026'!F132)</f>
        <v>48</v>
      </c>
      <c r="H132" s="35">
        <f>IF('2026'!G132="","",'2026'!G132)</f>
        <v>33</v>
      </c>
      <c r="I132" s="23">
        <f>IF('2026'!H132="","",'2026'!H132)</f>
        <v>32.01</v>
      </c>
      <c r="J132" s="24">
        <f>IF('2026'!I132="","",'2026'!I132)</f>
        <v>31.349999999999998</v>
      </c>
      <c r="K132" s="25">
        <f>IF('2026'!J132="","",'2026'!J132)</f>
        <v>31.02</v>
      </c>
    </row>
    <row r="133" spans="1:11" ht="12" customHeight="1" x14ac:dyDescent="0.2">
      <c r="A133" s="12" t="str">
        <f>IF('2026'!B133="","",'2026'!B133)</f>
        <v/>
      </c>
      <c r="B133" s="249" t="str">
        <f>IF('2026'!C133="","",'2026'!C133)</f>
        <v/>
      </c>
      <c r="C133" s="69" t="str">
        <f>IF('2026'!D133="","",'2026'!D133)</f>
        <v>Ground Bark</v>
      </c>
      <c r="D133" s="292"/>
      <c r="E133" s="12" t="str">
        <f>IF('2026'!E133="","",'2026'!E133)</f>
        <v>cu yd</v>
      </c>
      <c r="F133" s="12"/>
      <c r="G133" s="159">
        <f>IF('2026'!F133="","",'2026'!F133)</f>
        <v>63</v>
      </c>
      <c r="H133" s="35">
        <f>IF('2026'!G133="","",'2026'!G133)</f>
        <v>45</v>
      </c>
      <c r="I133" s="23">
        <f>IF('2026'!H133="","",'2026'!H133)</f>
        <v>43.65</v>
      </c>
      <c r="J133" s="24">
        <f>IF('2026'!I133="","",'2026'!I133)</f>
        <v>42.75</v>
      </c>
      <c r="K133" s="25">
        <f>IF('2026'!J133="","",'2026'!J133)</f>
        <v>42.3</v>
      </c>
    </row>
    <row r="134" spans="1:11" ht="12" customHeight="1" x14ac:dyDescent="0.2">
      <c r="A134" s="12" t="str">
        <f>IF('2026'!B134="","",'2026'!B134)</f>
        <v/>
      </c>
      <c r="B134" s="249" t="str">
        <f>IF('2026'!C134="","",'2026'!C134)</f>
        <v/>
      </c>
      <c r="C134" s="69" t="str">
        <f>IF('2026'!D134="","",'2026'!D134)</f>
        <v>Licorice</v>
      </c>
      <c r="D134" s="292"/>
      <c r="E134" s="12" t="str">
        <f>IF('2026'!E134="","",'2026'!E134)</f>
        <v>cu yd</v>
      </c>
      <c r="F134" s="12"/>
      <c r="G134" s="159">
        <f>IF('2026'!F134="","",'2026'!F134)</f>
        <v>56</v>
      </c>
      <c r="H134" s="35">
        <f>IF('2026'!G134="","",'2026'!G134)</f>
        <v>39</v>
      </c>
      <c r="I134" s="23">
        <f>IF('2026'!H134="","",'2026'!H134)</f>
        <v>37.83</v>
      </c>
      <c r="J134" s="24">
        <f>IF('2026'!I134="","",'2026'!I134)</f>
        <v>37.049999999999997</v>
      </c>
      <c r="K134" s="25">
        <f>IF('2026'!J134="","",'2026'!J134)</f>
        <v>36.659999999999997</v>
      </c>
    </row>
    <row r="135" spans="1:11" ht="12" customHeight="1" x14ac:dyDescent="0.2">
      <c r="A135" s="12" t="str">
        <f>IF('2026'!B135="","",'2026'!B135)</f>
        <v/>
      </c>
      <c r="B135" s="249" t="str">
        <f>IF('2026'!C135="","",'2026'!C135)</f>
        <v/>
      </c>
      <c r="C135" s="69" t="str">
        <f>IF('2026'!D135="","",'2026'!D135)</f>
        <v>Cocoa</v>
      </c>
      <c r="D135" s="292"/>
      <c r="E135" s="12" t="str">
        <f>IF('2026'!E135="","",'2026'!E135)</f>
        <v>cu yd</v>
      </c>
      <c r="F135" s="12"/>
      <c r="G135" s="159">
        <f>IF('2026'!F135="","",'2026'!F135)</f>
        <v>56</v>
      </c>
      <c r="H135" s="35">
        <f>IF('2026'!G135="","",'2026'!G135)</f>
        <v>39</v>
      </c>
      <c r="I135" s="23">
        <f>IF('2026'!H135="","",'2026'!H135)</f>
        <v>37.83</v>
      </c>
      <c r="J135" s="24">
        <f>IF('2026'!I135="","",'2026'!I135)</f>
        <v>37.049999999999997</v>
      </c>
      <c r="K135" s="25">
        <f>IF('2026'!J135="","",'2026'!J135)</f>
        <v>36.659999999999997</v>
      </c>
    </row>
    <row r="136" spans="1:11" ht="12" customHeight="1" x14ac:dyDescent="0.2">
      <c r="A136" s="12" t="str">
        <f>IF('2026'!B136="","",'2026'!B136)</f>
        <v/>
      </c>
      <c r="B136" s="249" t="str">
        <f>IF('2026'!C136="","",'2026'!C136)</f>
        <v/>
      </c>
      <c r="C136" s="69" t="str">
        <f>IF('2026'!D136="","",'2026'!D136)</f>
        <v>Coffee</v>
      </c>
      <c r="D136" s="292"/>
      <c r="E136" s="12" t="str">
        <f>IF('2026'!E136="","",'2026'!E136)</f>
        <v>cu yd</v>
      </c>
      <c r="F136" s="12"/>
      <c r="G136" s="159">
        <f>IF('2026'!F136="","",'2026'!F136)</f>
        <v>56</v>
      </c>
      <c r="H136" s="35">
        <f>IF('2026'!G136="","",'2026'!G136)</f>
        <v>39</v>
      </c>
      <c r="I136" s="23">
        <f>IF('2026'!H136="","",'2026'!H136)</f>
        <v>37.83</v>
      </c>
      <c r="J136" s="24">
        <f>IF('2026'!I136="","",'2026'!I136)</f>
        <v>37.049999999999997</v>
      </c>
      <c r="K136" s="25">
        <f>IF('2026'!J136="","",'2026'!J136)</f>
        <v>36.659999999999997</v>
      </c>
    </row>
    <row r="137" spans="1:11" ht="12" customHeight="1" x14ac:dyDescent="0.2">
      <c r="A137" s="12" t="str">
        <f>IF('2026'!B137="","",'2026'!B137)</f>
        <v/>
      </c>
      <c r="B137" s="249" t="str">
        <f>IF('2026'!C137="","",'2026'!C137)</f>
        <v/>
      </c>
      <c r="C137" s="69" t="str">
        <f>IF('2026'!D137="","",'2026'!D137)</f>
        <v>Cedar</v>
      </c>
      <c r="D137" s="292"/>
      <c r="E137" s="12" t="str">
        <f>IF('2026'!E137="","",'2026'!E137)</f>
        <v>cu yd</v>
      </c>
      <c r="F137" s="12"/>
      <c r="G137" s="159">
        <f>IF('2026'!F137="","",'2026'!F137)</f>
        <v>82</v>
      </c>
      <c r="H137" s="35">
        <f>IF('2026'!G137="","",'2026'!G137)</f>
        <v>61</v>
      </c>
      <c r="I137" s="23">
        <f>IF('2026'!H137="","",'2026'!H137)</f>
        <v>59.17</v>
      </c>
      <c r="J137" s="24">
        <f>IF('2026'!I137="","",'2026'!I137)</f>
        <v>57.949999999999996</v>
      </c>
      <c r="K137" s="25">
        <f>IF('2026'!J137="","",'2026'!J137)</f>
        <v>57.339999999999996</v>
      </c>
    </row>
    <row r="138" spans="1:11" ht="12" customHeight="1" x14ac:dyDescent="0.2">
      <c r="A138" s="12" t="str">
        <f>IF('2026'!B138="","",'2026'!B138)</f>
        <v/>
      </c>
      <c r="B138" s="249" t="str">
        <f>IF('2026'!C138="","",'2026'!C138)</f>
        <v/>
      </c>
      <c r="C138" s="69" t="str">
        <f>IF('2026'!D138="","",'2026'!D138)</f>
        <v>Pine Bark</v>
      </c>
      <c r="D138" s="292"/>
      <c r="E138" s="12" t="str">
        <f>IF('2026'!E138="","",'2026'!E138)</f>
        <v>cu yd</v>
      </c>
      <c r="F138" s="12"/>
      <c r="G138" s="159">
        <f>IF('2026'!F138="","",'2026'!F138)</f>
        <v>83</v>
      </c>
      <c r="H138" s="35">
        <f>IF('2026'!G138="","",'2026'!G138)</f>
        <v>59</v>
      </c>
      <c r="I138" s="23">
        <f>IF('2026'!H138="","",'2026'!H138)</f>
        <v>57.23</v>
      </c>
      <c r="J138" s="24">
        <f>IF('2026'!I138="","",'2026'!I138)</f>
        <v>56.05</v>
      </c>
      <c r="K138" s="25">
        <f>IF('2026'!J138="","",'2026'!J138)</f>
        <v>55.459999999999994</v>
      </c>
    </row>
    <row r="139" spans="1:11" ht="12" customHeight="1" x14ac:dyDescent="0.2">
      <c r="A139" s="12" t="str">
        <f>IF('2026'!B139="","",'2026'!B139)</f>
        <v/>
      </c>
      <c r="B139" s="249" t="str">
        <f>IF('2026'!C139="","",'2026'!C139)</f>
        <v/>
      </c>
      <c r="C139" s="69" t="str">
        <f>IF('2026'!D139="","",'2026'!D139)</f>
        <v>Pine Bark Chips</v>
      </c>
      <c r="D139" s="293"/>
      <c r="E139" s="12" t="str">
        <f>IF('2026'!E139="","",'2026'!E139)</f>
        <v>cu yd</v>
      </c>
      <c r="F139" s="12"/>
      <c r="G139" s="159">
        <f>IF('2026'!F139="","",'2026'!F139)</f>
        <v>83</v>
      </c>
      <c r="H139" s="35">
        <f>IF('2026'!G139="","",'2026'!G139)</f>
        <v>65</v>
      </c>
      <c r="I139" s="23">
        <f>IF('2026'!H139="","",'2026'!H139)</f>
        <v>63.05</v>
      </c>
      <c r="J139" s="24">
        <f>IF('2026'!I139="","",'2026'!I139)</f>
        <v>61.75</v>
      </c>
      <c r="K139" s="25">
        <f>IF('2026'!J139="","",'2026'!J139)</f>
        <v>61.099999999999994</v>
      </c>
    </row>
    <row r="140" spans="1:11" x14ac:dyDescent="0.2">
      <c r="A140" s="20"/>
      <c r="B140" s="49"/>
      <c r="C140" s="2" t="s">
        <v>122</v>
      </c>
      <c r="D140" s="20"/>
      <c r="E140" s="14"/>
      <c r="F140" s="14"/>
      <c r="G140" s="14"/>
      <c r="H140" s="48"/>
      <c r="I140" s="48"/>
      <c r="J140" s="48"/>
      <c r="K140" s="48"/>
    </row>
    <row r="141" spans="1:11" x14ac:dyDescent="0.2">
      <c r="A141" s="57" t="str">
        <f>IF('2026'!B141="","",'2026'!B141)</f>
        <v/>
      </c>
      <c r="B141" s="239" t="str">
        <f>IF('2026'!C141="","",'2026'!C141)</f>
        <v/>
      </c>
      <c r="C141" s="139" t="str">
        <f>IF('2026'!D141="","",'2026'!D141)</f>
        <v>Straw Blanket - Single Sided - 100sqyds 8'x112.5'</v>
      </c>
      <c r="D141" s="147"/>
      <c r="E141" s="57" t="str">
        <f>IF('2026'!E141="","",'2026'!E141)</f>
        <v>each</v>
      </c>
      <c r="F141" s="57"/>
      <c r="G141" s="159">
        <f>IF('2026'!F141="","",'2026'!F141)</f>
        <v>72</v>
      </c>
      <c r="H141" s="35">
        <f>IF('2026'!G141="","",'2026'!G141)</f>
        <v>49</v>
      </c>
      <c r="I141" s="23">
        <f>IF('2026'!H141="","",'2026'!H141)</f>
        <v>47.53</v>
      </c>
      <c r="J141" s="24">
        <f>IF('2026'!I141="","",'2026'!I141)</f>
        <v>46.55</v>
      </c>
      <c r="K141" s="25">
        <f>IF('2026'!J141="","",'2026'!J141)</f>
        <v>46.059999999999995</v>
      </c>
    </row>
    <row r="142" spans="1:11" x14ac:dyDescent="0.2">
      <c r="A142" s="57" t="str">
        <f>IF('2026'!B142="","",'2026'!B142)</f>
        <v/>
      </c>
      <c r="B142" s="239" t="str">
        <f>IF('2026'!C142="","",'2026'!C142)</f>
        <v/>
      </c>
      <c r="C142" s="139" t="str">
        <f>IF('2026'!D142="","",'2026'!D142)</f>
        <v>Silt Soxx - 8"x160ft - w/ stakes</v>
      </c>
      <c r="D142" s="147" t="s">
        <v>393</v>
      </c>
      <c r="E142" s="57" t="str">
        <f>IF('2026'!E142="","",'2026'!E142)</f>
        <v>each</v>
      </c>
      <c r="F142" s="57"/>
      <c r="G142" s="159">
        <f>IF('2026'!F142="","",'2026'!F142)</f>
        <v>475</v>
      </c>
      <c r="H142" s="35">
        <f>IF('2026'!G142="","",'2026'!G142)</f>
        <v>350</v>
      </c>
      <c r="I142" s="23">
        <f>IF('2026'!H142="","",'2026'!H142)</f>
        <v>339.5</v>
      </c>
      <c r="J142" s="24">
        <f>IF('2026'!I142="","",'2026'!I142)</f>
        <v>332.5</v>
      </c>
      <c r="K142" s="25">
        <f>IF('2026'!J142="","",'2026'!J142)</f>
        <v>329</v>
      </c>
    </row>
    <row r="143" spans="1:11" x14ac:dyDescent="0.2">
      <c r="A143" s="57" t="str">
        <f>IF('2026'!B143="","",'2026'!B143)</f>
        <v/>
      </c>
      <c r="B143" s="239" t="str">
        <f>IF('2026'!C143="","",'2026'!C143)</f>
        <v/>
      </c>
      <c r="C143" s="139" t="str">
        <f>IF('2026'!D143="","",'2026'!D143)</f>
        <v xml:space="preserve">Silt Soxx - 8"x10ft </v>
      </c>
      <c r="D143" s="147" t="s">
        <v>394</v>
      </c>
      <c r="E143" s="57" t="str">
        <f>IF('2026'!E143="","",'2026'!E143)</f>
        <v>each</v>
      </c>
      <c r="F143" s="57"/>
      <c r="G143" s="159">
        <f>IF('2026'!F143="","",'2026'!F143)</f>
        <v>38</v>
      </c>
      <c r="H143" s="35">
        <f>IF('2026'!G143="","",'2026'!G143)</f>
        <v>29</v>
      </c>
      <c r="I143" s="23">
        <f>IF('2026'!H143="","",'2026'!H143)</f>
        <v>28.13</v>
      </c>
      <c r="J143" s="24">
        <f>IF('2026'!I143="","",'2026'!I143)</f>
        <v>27.549999999999997</v>
      </c>
      <c r="K143" s="25">
        <f>IF('2026'!J143="","",'2026'!J143)</f>
        <v>27.259999999999998</v>
      </c>
    </row>
    <row r="144" spans="1:11" x14ac:dyDescent="0.2">
      <c r="A144" s="57" t="str">
        <f>IF('2026'!B144="","",'2026'!B144)</f>
        <v/>
      </c>
      <c r="B144" s="239" t="str">
        <f>IF('2026'!C144="","",'2026'!C144)</f>
        <v/>
      </c>
      <c r="C144" s="139" t="str">
        <f>IF('2026'!D144="","",'2026'!D144)</f>
        <v>20 YR 3x50 Premium Landscape Fabric</v>
      </c>
      <c r="D144" s="147" t="s">
        <v>395</v>
      </c>
      <c r="E144" s="57" t="str">
        <f>IF('2026'!E144="","",'2026'!E144)</f>
        <v>roll</v>
      </c>
      <c r="F144" s="57"/>
      <c r="G144" s="159">
        <f>IF('2026'!F144="","",'2026'!F144)</f>
        <v>34</v>
      </c>
      <c r="H144" s="35">
        <f>IF('2026'!G144="","",'2026'!G144)</f>
        <v>24</v>
      </c>
      <c r="I144" s="23">
        <f>IF('2026'!H144="","",'2026'!H144)</f>
        <v>23.28</v>
      </c>
      <c r="J144" s="24">
        <f>IF('2026'!I144="","",'2026'!I144)</f>
        <v>22.799999999999997</v>
      </c>
      <c r="K144" s="25">
        <f>IF('2026'!J144="","",'2026'!J144)</f>
        <v>22.56</v>
      </c>
    </row>
    <row r="145" spans="1:11" x14ac:dyDescent="0.2">
      <c r="A145" s="57" t="str">
        <f>IF('2026'!B145="","",'2026'!B145)</f>
        <v/>
      </c>
      <c r="B145" s="239" t="str">
        <f>IF('2026'!C145="","",'2026'!C145)</f>
        <v/>
      </c>
      <c r="C145" s="139" t="str">
        <f>IF('2026'!D145="","",'2026'!D145)</f>
        <v>20 YR 4x300 Silver Elite General Landscape Fabric</v>
      </c>
      <c r="D145" s="147" t="s">
        <v>396</v>
      </c>
      <c r="E145" s="57" t="str">
        <f>IF('2026'!E145="","",'2026'!E145)</f>
        <v>roll</v>
      </c>
      <c r="F145" s="57"/>
      <c r="G145" s="159">
        <f>IF('2026'!F145="","",'2026'!F145)</f>
        <v>175</v>
      </c>
      <c r="H145" s="35">
        <f>IF('2026'!G145="","",'2026'!G145)</f>
        <v>125</v>
      </c>
      <c r="I145" s="23">
        <f>IF('2026'!H145="","",'2026'!H145)</f>
        <v>121.25</v>
      </c>
      <c r="J145" s="24">
        <f>IF('2026'!I145="","",'2026'!I145)</f>
        <v>118.75</v>
      </c>
      <c r="K145" s="25">
        <f>IF('2026'!J145="","",'2026'!J145)</f>
        <v>117.5</v>
      </c>
    </row>
    <row r="146" spans="1:11" x14ac:dyDescent="0.2">
      <c r="A146" s="57" t="str">
        <f>IF('2026'!B146="","",'2026'!B146)</f>
        <v/>
      </c>
      <c r="B146" s="239" t="str">
        <f>IF('2026'!C146="","",'2026'!C146)</f>
        <v/>
      </c>
      <c r="C146" s="139" t="str">
        <f>IF('2026'!D146="","",'2026'!D146)</f>
        <v>20 YR 6x300 Silver Elite General Landscape Fabric</v>
      </c>
      <c r="D146" s="147" t="s">
        <v>397</v>
      </c>
      <c r="E146" s="57" t="str">
        <f>IF('2026'!E146="","",'2026'!E146)</f>
        <v>roll</v>
      </c>
      <c r="F146" s="57"/>
      <c r="G146" s="159">
        <f>IF('2026'!F146="","",'2026'!F146)</f>
        <v>251</v>
      </c>
      <c r="H146" s="35">
        <f>IF('2026'!G146="","",'2026'!G146)</f>
        <v>179</v>
      </c>
      <c r="I146" s="23">
        <f>IF('2026'!H146="","",'2026'!H146)</f>
        <v>173.63</v>
      </c>
      <c r="J146" s="24">
        <f>IF('2026'!I146="","",'2026'!I146)</f>
        <v>170.04999999999998</v>
      </c>
      <c r="K146" s="25">
        <f>IF('2026'!J146="","",'2026'!J146)</f>
        <v>168.26</v>
      </c>
    </row>
    <row r="147" spans="1:11" x14ac:dyDescent="0.2">
      <c r="A147" s="57" t="str">
        <f>IF('2026'!B147="","",'2026'!B147)</f>
        <v/>
      </c>
      <c r="B147" s="239" t="str">
        <f>IF('2026'!C147="","",'2026'!C147)</f>
        <v/>
      </c>
      <c r="C147" s="139" t="str">
        <f>IF('2026'!D147="","",'2026'!D147)</f>
        <v>25 YR BULK 4x250 Premium Landscape Fabric</v>
      </c>
      <c r="D147" s="147" t="s">
        <v>398</v>
      </c>
      <c r="E147" s="57" t="str">
        <f>IF('2026'!E147="","",'2026'!E147)</f>
        <v>roll</v>
      </c>
      <c r="F147" s="57"/>
      <c r="G147" s="159">
        <f>IF('2026'!F147="","",'2026'!F147)</f>
        <v>217</v>
      </c>
      <c r="H147" s="35">
        <f>IF('2026'!G147="","",'2026'!G147)</f>
        <v>155</v>
      </c>
      <c r="I147" s="23">
        <f>IF('2026'!H147="","",'2026'!H147)</f>
        <v>150.35</v>
      </c>
      <c r="J147" s="24">
        <f>IF('2026'!I147="","",'2026'!I147)</f>
        <v>147.25</v>
      </c>
      <c r="K147" s="25">
        <f>IF('2026'!J147="","",'2026'!J147)</f>
        <v>145.69999999999999</v>
      </c>
    </row>
    <row r="148" spans="1:11" x14ac:dyDescent="0.2">
      <c r="A148" s="57" t="str">
        <f>IF('2026'!B148="","",'2026'!B148)</f>
        <v/>
      </c>
      <c r="B148" s="239" t="str">
        <f>IF('2026'!C148="","",'2026'!C148)</f>
        <v/>
      </c>
      <c r="C148" s="139" t="str">
        <f>IF('2026'!D148="","",'2026'!D148)</f>
        <v>25 YR BULK 6x250 Premium Landscape Fabric</v>
      </c>
      <c r="D148" s="147" t="s">
        <v>399</v>
      </c>
      <c r="E148" s="57" t="str">
        <f>IF('2026'!E148="","",'2026'!E148)</f>
        <v>roll</v>
      </c>
      <c r="F148" s="57"/>
      <c r="G148" s="159">
        <f>IF('2026'!F148="","",'2026'!F148)</f>
        <v>309</v>
      </c>
      <c r="H148" s="35">
        <f>IF('2026'!G148="","",'2026'!G148)</f>
        <v>221</v>
      </c>
      <c r="I148" s="23">
        <f>IF('2026'!H148="","",'2026'!H148)</f>
        <v>214.37</v>
      </c>
      <c r="J148" s="24">
        <f>IF('2026'!I148="","",'2026'!I148)</f>
        <v>209.95</v>
      </c>
      <c r="K148" s="25">
        <f>IF('2026'!J148="","",'2026'!J148)</f>
        <v>207.73999999999998</v>
      </c>
    </row>
    <row r="149" spans="1:11" x14ac:dyDescent="0.2">
      <c r="A149" s="57" t="str">
        <f>IF('2026'!B149="","",'2026'!B149)</f>
        <v/>
      </c>
      <c r="B149" s="239" t="str">
        <f>IF('2026'!C149="","",'2026'!C149)</f>
        <v/>
      </c>
      <c r="C149" s="139" t="str">
        <f>IF('2026'!D149="","",'2026'!D149)</f>
        <v>4x300 Ground Cover Pro</v>
      </c>
      <c r="D149" s="147" t="s">
        <v>396</v>
      </c>
      <c r="E149" s="57" t="str">
        <f>IF('2026'!E149="","",'2026'!E149)</f>
        <v>roll</v>
      </c>
      <c r="F149" s="57"/>
      <c r="G149" s="159">
        <f>IF('2026'!F149="","",'2026'!F149)</f>
        <v>170</v>
      </c>
      <c r="H149" s="35">
        <f>IF('2026'!G149="","",'2026'!G149)</f>
        <v>110.5</v>
      </c>
      <c r="I149" s="23">
        <f>IF('2026'!H149="","",'2026'!H149)</f>
        <v>107.185</v>
      </c>
      <c r="J149" s="24">
        <f>IF('2026'!I149="","",'2026'!I149)</f>
        <v>104.97499999999999</v>
      </c>
      <c r="K149" s="25">
        <f>IF('2026'!J149="","",'2026'!J149)</f>
        <v>103.86999999999999</v>
      </c>
    </row>
    <row r="150" spans="1:11" x14ac:dyDescent="0.2">
      <c r="A150" s="57" t="str">
        <f>IF('2026'!B150="","",'2026'!B150)</f>
        <v/>
      </c>
      <c r="B150" s="239" t="str">
        <f>IF('2026'!C150="","",'2026'!C150)</f>
        <v/>
      </c>
      <c r="C150" s="139" t="str">
        <f>IF('2026'!D150="","",'2026'!D150)</f>
        <v>6x100 SS5 Stabilization Fabric</v>
      </c>
      <c r="D150" s="147" t="s">
        <v>400</v>
      </c>
      <c r="E150" s="57" t="str">
        <f>IF('2026'!E150="","",'2026'!E150)</f>
        <v>roll</v>
      </c>
      <c r="F150" s="57"/>
      <c r="G150" s="159">
        <f>IF('2026'!F150="","",'2026'!F150)</f>
        <v>167</v>
      </c>
      <c r="H150" s="35">
        <f>IF('2026'!G150="","",'2026'!G150)</f>
        <v>119</v>
      </c>
      <c r="I150" s="23">
        <f>IF('2026'!H150="","",'2026'!H150)</f>
        <v>115.42999999999999</v>
      </c>
      <c r="J150" s="24">
        <f>IF('2026'!I150="","",'2026'!I150)</f>
        <v>113.05</v>
      </c>
      <c r="K150" s="25">
        <f>IF('2026'!J150="","",'2026'!J150)</f>
        <v>111.86</v>
      </c>
    </row>
    <row r="151" spans="1:11" x14ac:dyDescent="0.2">
      <c r="A151" s="57" t="str">
        <f>IF('2026'!B151="","",'2026'!B151)</f>
        <v/>
      </c>
      <c r="B151" s="239" t="str">
        <f>IF('2026'!C151="","",'2026'!C151)</f>
        <v/>
      </c>
      <c r="C151" s="139" t="str">
        <f>IF('2026'!D151="","",'2026'!D151)</f>
        <v>4x50 Landscape/Filter Fabric 3.0</v>
      </c>
      <c r="D151" s="147" t="s">
        <v>401</v>
      </c>
      <c r="E151" s="57" t="str">
        <f>IF('2026'!E151="","",'2026'!E151)</f>
        <v>roll</v>
      </c>
      <c r="F151" s="57"/>
      <c r="G151" s="159">
        <f>IF('2026'!F151="","",'2026'!F151)</f>
        <v>43</v>
      </c>
      <c r="H151" s="35">
        <f>IF('2026'!G151="","",'2026'!G151)</f>
        <v>28</v>
      </c>
      <c r="I151" s="23">
        <f>IF('2026'!H151="","",'2026'!H151)</f>
        <v>27.16</v>
      </c>
      <c r="J151" s="24">
        <f>IF('2026'!I151="","",'2026'!I151)</f>
        <v>26.599999999999998</v>
      </c>
      <c r="K151" s="25">
        <f>IF('2026'!J151="","",'2026'!J151)</f>
        <v>26.32</v>
      </c>
    </row>
    <row r="152" spans="1:11" x14ac:dyDescent="0.2">
      <c r="A152" s="57" t="str">
        <f>IF('2026'!B152="","",'2026'!B152)</f>
        <v/>
      </c>
      <c r="B152" s="239" t="str">
        <f>IF('2026'!C152="","",'2026'!C152)</f>
        <v/>
      </c>
      <c r="C152" s="139" t="str">
        <f>IF('2026'!D152="","",'2026'!D152)</f>
        <v>6x300 Drainage/Filter Fabric 4.5</v>
      </c>
      <c r="D152" s="147" t="s">
        <v>397</v>
      </c>
      <c r="E152" s="57" t="str">
        <f>IF('2026'!E152="","",'2026'!E152)</f>
        <v>roll</v>
      </c>
      <c r="F152" s="57"/>
      <c r="G152" s="159">
        <f>IF('2026'!F152="","",'2026'!F152)</f>
        <v>495</v>
      </c>
      <c r="H152" s="35">
        <f>IF('2026'!G152="","",'2026'!G152)</f>
        <v>330</v>
      </c>
      <c r="I152" s="23">
        <f>IF('2026'!H152="","",'2026'!H152)</f>
        <v>320.09999999999997</v>
      </c>
      <c r="J152" s="24">
        <f>IF('2026'!I152="","",'2026'!I152)</f>
        <v>313.5</v>
      </c>
      <c r="K152" s="25">
        <f>IF('2026'!J152="","",'2026'!J152)</f>
        <v>310.2</v>
      </c>
    </row>
    <row r="153" spans="1:11" x14ac:dyDescent="0.2">
      <c r="A153" s="57" t="str">
        <f>IF('2026'!B153="","",'2026'!B153)</f>
        <v/>
      </c>
      <c r="B153" s="239" t="str">
        <f>IF('2026'!C153="","",'2026'!C153)</f>
        <v/>
      </c>
      <c r="C153" s="139" t="str">
        <f>IF('2026'!D153="","",'2026'!D153)</f>
        <v>6" Sod/Anchor Pins - 1000 count</v>
      </c>
      <c r="D153" s="147" t="s">
        <v>402</v>
      </c>
      <c r="E153" s="57" t="str">
        <f>IF('2026'!E153="","",'2026'!E153)</f>
        <v>box</v>
      </c>
      <c r="F153" s="57"/>
      <c r="G153" s="159">
        <f>IF('2026'!F153="","",'2026'!F153)</f>
        <v>79</v>
      </c>
      <c r="H153" s="35">
        <f>IF('2026'!G153="","",'2026'!G153)</f>
        <v>60</v>
      </c>
      <c r="I153" s="23">
        <f>IF('2026'!H153="","",'2026'!H153)</f>
        <v>58.199999999999996</v>
      </c>
      <c r="J153" s="24">
        <f>IF('2026'!I153="","",'2026'!I153)</f>
        <v>57</v>
      </c>
      <c r="K153" s="25">
        <f>IF('2026'!J153="","",'2026'!J153)</f>
        <v>56.4</v>
      </c>
    </row>
    <row r="154" spans="1:11" x14ac:dyDescent="0.2">
      <c r="A154" s="57" t="str">
        <f>IF('2026'!B154="","",'2026'!B154)</f>
        <v/>
      </c>
      <c r="B154" s="239" t="str">
        <f>IF('2026'!C154="","",'2026'!C154)</f>
        <v/>
      </c>
      <c r="C154" s="139" t="str">
        <f>IF('2026'!D154="","",'2026'!D154)</f>
        <v>6" Anchor Pins - 20 count</v>
      </c>
      <c r="D154" s="147" t="s">
        <v>403</v>
      </c>
      <c r="E154" s="57" t="str">
        <f>IF('2026'!E154="","",'2026'!E154)</f>
        <v>pack</v>
      </c>
      <c r="F154" s="57"/>
      <c r="G154" s="159">
        <f>IF('2026'!F154="","",'2026'!F154)</f>
        <v>5</v>
      </c>
      <c r="H154" s="35">
        <f>IF('2026'!G154="","",'2026'!G154)</f>
        <v>4</v>
      </c>
      <c r="I154" s="23">
        <f>IF('2026'!H154="","",'2026'!H154)</f>
        <v>3.88</v>
      </c>
      <c r="J154" s="24">
        <f>IF('2026'!I154="","",'2026'!I154)</f>
        <v>3.8</v>
      </c>
      <c r="K154" s="25">
        <f>IF('2026'!J154="","",'2026'!J154)</f>
        <v>3.76</v>
      </c>
    </row>
    <row r="155" spans="1:11" x14ac:dyDescent="0.2">
      <c r="A155" s="57" t="str">
        <f>IF('2026'!B155="","",'2026'!B155)</f>
        <v/>
      </c>
      <c r="B155" s="239" t="str">
        <f>IF('2026'!C155="","",'2026'!C155)</f>
        <v/>
      </c>
      <c r="C155" s="139" t="str">
        <f>IF('2026'!D155="","",'2026'!D155)</f>
        <v>Circle Top Pins - 1000 count</v>
      </c>
      <c r="D155" s="147" t="s">
        <v>402</v>
      </c>
      <c r="E155" s="57" t="str">
        <f>IF('2026'!E155="","",'2026'!E155)</f>
        <v>box</v>
      </c>
      <c r="F155" s="57"/>
      <c r="G155" s="159">
        <f>IF('2026'!F155="","",'2026'!F155)</f>
        <v>95</v>
      </c>
      <c r="H155" s="35">
        <f>IF('2026'!G155="","",'2026'!G155)</f>
        <v>73</v>
      </c>
      <c r="I155" s="23">
        <f>IF('2026'!H155="","",'2026'!H155)</f>
        <v>70.81</v>
      </c>
      <c r="J155" s="24">
        <f>IF('2026'!I155="","",'2026'!I155)</f>
        <v>69.349999999999994</v>
      </c>
      <c r="K155" s="25">
        <f>IF('2026'!J155="","",'2026'!J155)</f>
        <v>68.61999999999999</v>
      </c>
    </row>
    <row r="156" spans="1:11" x14ac:dyDescent="0.2">
      <c r="A156" s="57" t="str">
        <f>IF('2026'!B156="","",'2026'!B156)</f>
        <v/>
      </c>
      <c r="B156" s="239" t="str">
        <f>IF('2026'!C156="","",'2026'!C156)</f>
        <v/>
      </c>
      <c r="C156" s="139" t="str">
        <f>IF('2026'!D156="","",'2026'!D156)</f>
        <v>Pin Pounder</v>
      </c>
      <c r="D156" s="147"/>
      <c r="E156" s="57" t="str">
        <f>IF('2026'!E156="","",'2026'!E156)</f>
        <v>each</v>
      </c>
      <c r="F156" s="57"/>
      <c r="G156" s="159">
        <f>IF('2026'!F156="","",'2026'!F156)</f>
        <v>74</v>
      </c>
      <c r="H156" s="35">
        <f>IF('2026'!G156="","",'2026'!G156)</f>
        <v>57</v>
      </c>
      <c r="I156" s="23">
        <f>IF('2026'!H156="","",'2026'!H156)</f>
        <v>55.29</v>
      </c>
      <c r="J156" s="24">
        <f>IF('2026'!I156="","",'2026'!I156)</f>
        <v>54.15</v>
      </c>
      <c r="K156" s="25">
        <f>IF('2026'!J156="","",'2026'!J156)</f>
        <v>53.58</v>
      </c>
    </row>
    <row r="157" spans="1:11" x14ac:dyDescent="0.2">
      <c r="A157" s="20"/>
      <c r="B157" s="49"/>
      <c r="C157" s="2" t="s">
        <v>137</v>
      </c>
      <c r="D157" s="20"/>
      <c r="E157" s="14"/>
      <c r="F157" s="14"/>
      <c r="G157" s="14"/>
      <c r="H157" s="48"/>
      <c r="I157" s="48"/>
      <c r="J157" s="48"/>
      <c r="K157" s="48"/>
    </row>
    <row r="158" spans="1:11" x14ac:dyDescent="0.2">
      <c r="A158" s="57" t="str">
        <f>IF('2026'!B158="","",'2026'!B158)</f>
        <v/>
      </c>
      <c r="B158" s="239" t="str">
        <f>IF('2026'!C158="","",'2026'!C158)</f>
        <v/>
      </c>
      <c r="C158" s="139" t="str">
        <f>IF('2026'!D158="","",'2026'!D158)</f>
        <v>SRW Series3 GeoGrid - 6x150</v>
      </c>
      <c r="D158" s="147" t="s">
        <v>404</v>
      </c>
      <c r="E158" s="57" t="str">
        <f>IF('2026'!E158="","",'2026'!E158)</f>
        <v>roll</v>
      </c>
      <c r="F158" s="57"/>
      <c r="G158" s="159">
        <f>IF('2026'!F158="","",'2026'!F158)</f>
        <v>340</v>
      </c>
      <c r="H158" s="35">
        <f>IF('2026'!G158="","",'2026'!G158)</f>
        <v>257</v>
      </c>
      <c r="I158" s="23">
        <f>IF('2026'!H158="","",'2026'!H158)</f>
        <v>249.29</v>
      </c>
      <c r="J158" s="24">
        <f>IF('2026'!I158="","",'2026'!I158)</f>
        <v>244.14999999999998</v>
      </c>
      <c r="K158" s="25">
        <f>IF('2026'!J158="","",'2026'!J158)</f>
        <v>241.57999999999998</v>
      </c>
    </row>
    <row r="159" spans="1:11" x14ac:dyDescent="0.2">
      <c r="A159" s="57" t="str">
        <f>IF('2026'!B159="","",'2026'!B159)</f>
        <v/>
      </c>
      <c r="B159" s="239" t="str">
        <f>IF('2026'!C159="","",'2026'!C159)</f>
        <v/>
      </c>
      <c r="C159" s="139" t="str">
        <f>IF('2026'!D159="","",'2026'!D159)</f>
        <v>Universal Paver Rail</v>
      </c>
      <c r="D159" s="147" t="s">
        <v>405</v>
      </c>
      <c r="E159" s="57" t="str">
        <f>IF('2026'!E159="","",'2026'!E159)</f>
        <v>each</v>
      </c>
      <c r="F159" s="57"/>
      <c r="G159" s="159">
        <f>IF('2026'!F159="","",'2026'!F159)</f>
        <v>17</v>
      </c>
      <c r="H159" s="35"/>
      <c r="I159" s="23"/>
      <c r="J159" s="24"/>
      <c r="K159" s="25"/>
    </row>
    <row r="160" spans="1:11" x14ac:dyDescent="0.2">
      <c r="A160" s="57" t="str">
        <f>IF('2026'!B160="","",'2026'!B160)</f>
        <v/>
      </c>
      <c r="B160" s="239" t="str">
        <f>IF('2026'!C160="","",'2026'!C160)</f>
        <v/>
      </c>
      <c r="C160" s="139" t="str">
        <f>IF('2026'!D160="","",'2026'!D160)</f>
        <v>10" Spikes - 50 lb (single=$0.60 each)</v>
      </c>
      <c r="D160" s="147" t="s">
        <v>406</v>
      </c>
      <c r="E160" s="57" t="str">
        <f>IF('2026'!E160="","",'2026'!E160)</f>
        <v>box</v>
      </c>
      <c r="F160" s="57"/>
      <c r="G160" s="159">
        <f>IF('2026'!F160="","",'2026'!F160)</f>
        <v>102</v>
      </c>
      <c r="H160" s="35">
        <f>IF('2026'!G160="","",'2026'!G160)</f>
        <v>70</v>
      </c>
      <c r="I160" s="23">
        <f>IF('2026'!H160="","",'2026'!H160)</f>
        <v>67.899999999999991</v>
      </c>
      <c r="J160" s="24">
        <f>IF('2026'!I160="","",'2026'!I160)</f>
        <v>66.5</v>
      </c>
      <c r="K160" s="25">
        <f>IF('2026'!J160="","",'2026'!J160)</f>
        <v>65.8</v>
      </c>
    </row>
    <row r="161" spans="1:11" x14ac:dyDescent="0.2">
      <c r="A161" s="57" t="str">
        <f>IF('2026'!B161="","",'2026'!B161)</f>
        <v/>
      </c>
      <c r="B161" s="239" t="str">
        <f>IF('2026'!C161="","",'2026'!C161)</f>
        <v/>
      </c>
      <c r="C161" s="139" t="str">
        <f>IF('2026'!D161="","",'2026'!D161)</f>
        <v>SRW Adhesive - 10 oz</v>
      </c>
      <c r="D161" s="147" t="s">
        <v>407</v>
      </c>
      <c r="E161" s="57" t="str">
        <f>IF('2026'!E161="","",'2026'!E161)</f>
        <v>each</v>
      </c>
      <c r="F161" s="57"/>
      <c r="G161" s="159">
        <f>IF('2026'!F161="","",'2026'!F161)</f>
        <v>9</v>
      </c>
      <c r="H161" s="35">
        <f>IF('2026'!G161="","",'2026'!G161)</f>
        <v>7</v>
      </c>
      <c r="I161" s="23">
        <f>IF('2026'!H161="","",'2026'!H161)</f>
        <v>6.79</v>
      </c>
      <c r="J161" s="24">
        <f>IF('2026'!I161="","",'2026'!I161)</f>
        <v>6.6499999999999995</v>
      </c>
      <c r="K161" s="25">
        <f>IF('2026'!J161="","",'2026'!J161)</f>
        <v>6.58</v>
      </c>
    </row>
    <row r="162" spans="1:11" x14ac:dyDescent="0.2">
      <c r="A162" s="57" t="str">
        <f>IF('2026'!B162="","",'2026'!B162)</f>
        <v/>
      </c>
      <c r="B162" s="239" t="str">
        <f>IF('2026'!C162="","",'2026'!C162)</f>
        <v/>
      </c>
      <c r="C162" s="139" t="str">
        <f>IF('2026'!D162="","",'2026'!D162)</f>
        <v>SRW Adhesive - 28 oz</v>
      </c>
      <c r="D162" s="147" t="s">
        <v>408</v>
      </c>
      <c r="E162" s="57" t="str">
        <f>IF('2026'!E162="","",'2026'!E162)</f>
        <v>each</v>
      </c>
      <c r="F162" s="57"/>
      <c r="G162" s="159">
        <f>IF('2026'!F162="","",'2026'!F162)</f>
        <v>18</v>
      </c>
      <c r="H162" s="35">
        <f>IF('2026'!G162="","",'2026'!G162)</f>
        <v>13</v>
      </c>
      <c r="I162" s="23">
        <f>IF('2026'!H162="","",'2026'!H162)</f>
        <v>12.61</v>
      </c>
      <c r="J162" s="24">
        <f>IF('2026'!I162="","",'2026'!I162)</f>
        <v>12.35</v>
      </c>
      <c r="K162" s="25">
        <f>IF('2026'!J162="","",'2026'!J162)</f>
        <v>12.219999999999999</v>
      </c>
    </row>
    <row r="163" spans="1:11" x14ac:dyDescent="0.2">
      <c r="A163" s="57" t="str">
        <f>IF('2026'!B163="","",'2026'!B163)</f>
        <v/>
      </c>
      <c r="B163" s="239" t="str">
        <f>IF('2026'!C163="","",'2026'!C163)</f>
        <v/>
      </c>
      <c r="C163" s="139" t="str">
        <f>IF('2026'!D163="","",'2026'!D163)</f>
        <v>SRW Vertical Instant Lock - 9.5 oz</v>
      </c>
      <c r="D163" s="147" t="s">
        <v>409</v>
      </c>
      <c r="E163" s="57" t="str">
        <f>IF('2026'!E163="","",'2026'!E163)</f>
        <v>each</v>
      </c>
      <c r="F163" s="57"/>
      <c r="G163" s="159">
        <f>IF('2026'!F163="","",'2026'!F163)</f>
        <v>26</v>
      </c>
      <c r="H163" s="35">
        <f>IF('2026'!G163="","",'2026'!G163)</f>
        <v>17</v>
      </c>
      <c r="I163" s="23">
        <f>IF('2026'!H163="","",'2026'!H163)</f>
        <v>16.489999999999998</v>
      </c>
      <c r="J163" s="24">
        <f>IF('2026'!I163="","",'2026'!I163)</f>
        <v>16.149999999999999</v>
      </c>
      <c r="K163" s="25">
        <f>IF('2026'!J163="","",'2026'!J163)</f>
        <v>15.979999999999999</v>
      </c>
    </row>
    <row r="164" spans="1:11" x14ac:dyDescent="0.2">
      <c r="A164" s="57" t="str">
        <f>IF('2026'!B164="","",'2026'!B164)</f>
        <v/>
      </c>
      <c r="B164" s="239" t="str">
        <f>IF('2026'!C164="","",'2026'!C164)</f>
        <v/>
      </c>
      <c r="C164" s="139" t="str">
        <f>IF('2026'!D164="","",'2026'!D164)</f>
        <v>Wall Drain Pro - Grey, Tan, Black</v>
      </c>
      <c r="D164" s="147"/>
      <c r="E164" s="57" t="str">
        <f>IF('2026'!E164="","",'2026'!E164)</f>
        <v>each</v>
      </c>
      <c r="F164" s="57"/>
      <c r="G164" s="159">
        <f>IF('2026'!F164="","",'2026'!F164)</f>
        <v>20</v>
      </c>
      <c r="H164" s="35">
        <f>IF('2026'!G164="","",'2026'!G164)</f>
        <v>16</v>
      </c>
      <c r="I164" s="23">
        <f>IF('2026'!H164="","",'2026'!H164)</f>
        <v>15.52</v>
      </c>
      <c r="J164" s="24">
        <f>IF('2026'!I164="","",'2026'!I164)</f>
        <v>15.2</v>
      </c>
      <c r="K164" s="25">
        <f>IF('2026'!J164="","",'2026'!J164)</f>
        <v>15.04</v>
      </c>
    </row>
    <row r="165" spans="1:11" x14ac:dyDescent="0.2">
      <c r="A165" s="57" t="str">
        <f>IF('2026'!B165="","",'2026'!B165)</f>
        <v/>
      </c>
      <c r="B165" s="239" t="str">
        <f>IF('2026'!C165="","",'2026'!C165)</f>
        <v/>
      </c>
      <c r="C165" s="139" t="str">
        <f>IF('2026'!D165="","",'2026'!D165)</f>
        <v>Medium SlabGrabber</v>
      </c>
      <c r="D165" s="147"/>
      <c r="E165" s="57" t="str">
        <f>IF('2026'!E165="","",'2026'!E165)</f>
        <v>each</v>
      </c>
      <c r="F165" s="57"/>
      <c r="G165" s="159">
        <f>IF('2026'!F165="","",'2026'!F165)</f>
        <v>173</v>
      </c>
      <c r="H165" s="35">
        <f>IF('2026'!G165="","",'2026'!G165)</f>
        <v>118</v>
      </c>
      <c r="I165" s="23">
        <f>IF('2026'!H165="","",'2026'!H165)</f>
        <v>114.46</v>
      </c>
      <c r="J165" s="24">
        <f>IF('2026'!I165="","",'2026'!I165)</f>
        <v>112.1</v>
      </c>
      <c r="K165" s="25">
        <f>IF('2026'!J165="","",'2026'!J165)</f>
        <v>110.91999999999999</v>
      </c>
    </row>
    <row r="166" spans="1:11" hidden="1" x14ac:dyDescent="0.2">
      <c r="A166" s="57" t="str">
        <f>IF('2026'!B166="","",'2026'!B166)</f>
        <v/>
      </c>
      <c r="B166" s="239" t="str">
        <f>IF('2026'!C166="","",'2026'!C166)</f>
        <v/>
      </c>
      <c r="C166" s="139" t="str">
        <f>IF('2026'!D166="","",'2026'!D166)</f>
        <v>Paver Extractor</v>
      </c>
      <c r="D166" s="147"/>
      <c r="E166" s="57" t="str">
        <f>IF('2026'!E166="","",'2026'!E166)</f>
        <v>each</v>
      </c>
      <c r="F166" s="57"/>
      <c r="G166" s="159">
        <f>IF('2026'!F166="","",'2026'!F166)</f>
        <v>242</v>
      </c>
      <c r="H166" s="35">
        <f>IF('2026'!G166="","",'2026'!G166)</f>
        <v>174</v>
      </c>
      <c r="I166" s="23">
        <f>IF('2026'!H166="","",'2026'!H166)</f>
        <v>168.78</v>
      </c>
      <c r="J166" s="24">
        <f>IF('2026'!I166="","",'2026'!I166)</f>
        <v>165.29999999999998</v>
      </c>
      <c r="K166" s="25">
        <f>IF('2026'!J166="","",'2026'!J166)</f>
        <v>163.56</v>
      </c>
    </row>
    <row r="167" spans="1:11" x14ac:dyDescent="0.2">
      <c r="A167" s="57" t="str">
        <f>IF('2026'!B167="","",'2026'!B167)</f>
        <v/>
      </c>
      <c r="B167" s="239" t="str">
        <f>IF('2026'!C167="","",'2026'!C167)</f>
        <v/>
      </c>
      <c r="C167" s="139" t="str">
        <f>IF('2026'!D167="","",'2026'!D167)</f>
        <v>Paver Paw</v>
      </c>
      <c r="D167" s="147"/>
      <c r="E167" s="57" t="str">
        <f>IF('2026'!E167="","",'2026'!E167)</f>
        <v>each</v>
      </c>
      <c r="F167" s="57"/>
      <c r="G167" s="159">
        <f>IF('2026'!F167="","",'2026'!F167)</f>
        <v>218</v>
      </c>
      <c r="H167" s="35">
        <f>IF('2026'!G167="","",'2026'!G167)</f>
        <v>151</v>
      </c>
      <c r="I167" s="23">
        <f>IF('2026'!H167="","",'2026'!H167)</f>
        <v>146.47</v>
      </c>
      <c r="J167" s="24">
        <f>IF('2026'!I167="","",'2026'!I167)</f>
        <v>143.44999999999999</v>
      </c>
      <c r="K167" s="25">
        <f>IF('2026'!J167="","",'2026'!J167)</f>
        <v>141.94</v>
      </c>
    </row>
    <row r="168" spans="1:11" x14ac:dyDescent="0.2">
      <c r="A168" s="57" t="str">
        <f>IF('2026'!B168="","",'2026'!B168)</f>
        <v/>
      </c>
      <c r="B168" s="239" t="str">
        <f>IF('2026'!C168="","",'2026'!C168)</f>
        <v/>
      </c>
      <c r="C168" s="139" t="str">
        <f>IF('2026'!D168="","",'2026'!D168)</f>
        <v>SEK Tan Extreme Wide Joint Polysweep</v>
      </c>
      <c r="D168" s="147" t="s">
        <v>410</v>
      </c>
      <c r="E168" s="57" t="str">
        <f>IF('2026'!E168="","",'2026'!E168)</f>
        <v>bag</v>
      </c>
      <c r="F168" s="57"/>
      <c r="G168" s="159">
        <f>IF('2026'!F168="","",'2026'!F168)</f>
        <v>41.48</v>
      </c>
      <c r="H168" s="35">
        <f>IF('2026'!G168="","",'2026'!G168)</f>
        <v>34.57</v>
      </c>
      <c r="I168" s="23">
        <f>IF('2026'!H168="","",'2026'!H168)</f>
        <v>33.532899999999998</v>
      </c>
      <c r="J168" s="24">
        <f>IF('2026'!I168="","",'2026'!I168)</f>
        <v>32.841499999999996</v>
      </c>
      <c r="K168" s="25">
        <f>IF('2026'!J168="","",'2026'!J168)</f>
        <v>32.495799999999996</v>
      </c>
    </row>
    <row r="169" spans="1:11" x14ac:dyDescent="0.2">
      <c r="A169" s="57" t="str">
        <f>IF('2026'!B169="","",'2026'!B169)</f>
        <v/>
      </c>
      <c r="B169" s="239" t="str">
        <f>IF('2026'!C169="","",'2026'!C169)</f>
        <v/>
      </c>
      <c r="C169" s="139" t="str">
        <f>IF('2026'!D169="","",'2026'!D169)</f>
        <v>SEK Platinum Extreme Wide Joint Polysweep</v>
      </c>
      <c r="D169" s="147" t="s">
        <v>410</v>
      </c>
      <c r="E169" s="57" t="str">
        <f>IF('2026'!E169="","",'2026'!E169)</f>
        <v>bag</v>
      </c>
      <c r="F169" s="57"/>
      <c r="G169" s="159">
        <f>IF('2026'!F169="","",'2026'!F169)</f>
        <v>59.32</v>
      </c>
      <c r="H169" s="35">
        <f>IF('2026'!G169="","",'2026'!G169)</f>
        <v>49.43</v>
      </c>
      <c r="I169" s="23">
        <f>IF('2026'!H169="","",'2026'!H169)</f>
        <v>47.947099999999999</v>
      </c>
      <c r="J169" s="24">
        <f>IF('2026'!I169="","",'2026'!I169)</f>
        <v>46.958500000000001</v>
      </c>
      <c r="K169" s="25">
        <f>IF('2026'!J169="","",'2026'!J169)</f>
        <v>46.464199999999998</v>
      </c>
    </row>
    <row r="170" spans="1:11" x14ac:dyDescent="0.2">
      <c r="A170" s="57" t="str">
        <f>IF('2026'!B170="","",'2026'!B170)</f>
        <v/>
      </c>
      <c r="B170" s="239" t="str">
        <f>IF('2026'!C170="","",'2026'!C170)</f>
        <v/>
      </c>
      <c r="C170" s="139" t="str">
        <f>IF('2026'!D170="","",'2026'!D170)</f>
        <v>SEK Black Extreme Wide Joint Polysweep</v>
      </c>
      <c r="D170" s="147" t="s">
        <v>410</v>
      </c>
      <c r="E170" s="57" t="str">
        <f>IF('2026'!E170="","",'2026'!E170)</f>
        <v>bag</v>
      </c>
      <c r="F170" s="57"/>
      <c r="G170" s="159">
        <f>IF('2026'!F170="","",'2026'!F170)</f>
        <v>75.89</v>
      </c>
      <c r="H170" s="35">
        <f>IF('2026'!G170="","",'2026'!G170)</f>
        <v>63.24</v>
      </c>
      <c r="I170" s="23">
        <f>IF('2026'!H170="","",'2026'!H170)</f>
        <v>61.342799999999997</v>
      </c>
      <c r="J170" s="24">
        <f>IF('2026'!I170="","",'2026'!I170)</f>
        <v>60.077999999999996</v>
      </c>
      <c r="K170" s="25">
        <f>IF('2026'!J170="","",'2026'!J170)</f>
        <v>59.445599999999999</v>
      </c>
    </row>
    <row r="171" spans="1:11" x14ac:dyDescent="0.2">
      <c r="A171" s="57" t="str">
        <f>IF('2026'!B171="","",'2026'!B171)</f>
        <v/>
      </c>
      <c r="B171" s="239" t="str">
        <f>IF('2026'!C171="","",'2026'!C171)</f>
        <v/>
      </c>
      <c r="C171" s="139" t="str">
        <f>IF('2026'!D171="","",'2026'!D171)</f>
        <v>SEK Edge Crete</v>
      </c>
      <c r="D171" s="147" t="s">
        <v>410</v>
      </c>
      <c r="E171" s="57" t="str">
        <f>IF('2026'!E171="","",'2026'!E171)</f>
        <v>bag</v>
      </c>
      <c r="F171" s="57"/>
      <c r="G171" s="159">
        <f>IF('2026'!F171="","",'2026'!F171)</f>
        <v>32.93</v>
      </c>
      <c r="H171" s="35">
        <f>IF('2026'!G171="","",'2026'!G171)</f>
        <v>27.44</v>
      </c>
      <c r="I171" s="23">
        <f>IF('2026'!H171="","",'2026'!H171)</f>
        <v>26.616800000000001</v>
      </c>
      <c r="J171" s="24">
        <f>IF('2026'!I171="","",'2026'!I171)</f>
        <v>26.068000000000001</v>
      </c>
      <c r="K171" s="25">
        <f>IF('2026'!J171="","",'2026'!J171)</f>
        <v>25.793600000000001</v>
      </c>
    </row>
    <row r="172" spans="1:11" x14ac:dyDescent="0.2">
      <c r="A172" s="20"/>
      <c r="B172" s="49"/>
      <c r="C172" s="2" t="s">
        <v>229</v>
      </c>
      <c r="D172" s="20"/>
      <c r="E172" s="14"/>
      <c r="F172" s="14"/>
      <c r="G172" s="14"/>
      <c r="H172" s="48"/>
      <c r="I172" s="48"/>
      <c r="J172" s="48"/>
      <c r="K172" s="48"/>
    </row>
    <row r="173" spans="1:11" x14ac:dyDescent="0.2">
      <c r="A173" s="57" t="str">
        <f>IF('2026'!B173="","",'2026'!B173)</f>
        <v/>
      </c>
      <c r="B173" s="239" t="str">
        <f>IF('2026'!C173="","",'2026'!C173)</f>
        <v/>
      </c>
      <c r="C173" s="139" t="str">
        <f>IF('2026'!D173="","",'2026'!D173)</f>
        <v>Gamma Ray Up Light</v>
      </c>
      <c r="D173" s="147"/>
      <c r="E173" s="57" t="str">
        <f>IF('2026'!E173="","",'2026'!E173)</f>
        <v>each</v>
      </c>
      <c r="F173" s="57"/>
      <c r="G173" s="159">
        <f>IF('2026'!F173="","",'2026'!F173)</f>
        <v>102.95</v>
      </c>
      <c r="H173" s="35">
        <f>IF('2026'!G173="","",'2026'!G173)</f>
        <v>66.14</v>
      </c>
      <c r="I173" s="23">
        <f>IF('2026'!H173="","",'2026'!H173)</f>
        <v>64.155799999999999</v>
      </c>
      <c r="J173" s="24">
        <f>IF('2026'!I173="","",'2026'!I173)</f>
        <v>62.832999999999998</v>
      </c>
      <c r="K173" s="25">
        <f>IF('2026'!J173="","",'2026'!J173)</f>
        <v>62.171599999999998</v>
      </c>
    </row>
    <row r="174" spans="1:11" x14ac:dyDescent="0.2">
      <c r="A174" s="57" t="str">
        <f>IF('2026'!B174="","",'2026'!B174)</f>
        <v/>
      </c>
      <c r="B174" s="239" t="str">
        <f>IF('2026'!C174="","",'2026'!C174)</f>
        <v/>
      </c>
      <c r="C174" s="139" t="str">
        <f>IF('2026'!D174="","",'2026'!D174)</f>
        <v>FlexLED 2 Watt Bulb</v>
      </c>
      <c r="D174" s="147" t="s">
        <v>411</v>
      </c>
      <c r="E174" s="57" t="str">
        <f>IF('2026'!E174="","",'2026'!E174)</f>
        <v>each</v>
      </c>
      <c r="F174" s="57"/>
      <c r="G174" s="159">
        <f>IF('2026'!F174="","",'2026'!F174)</f>
        <v>19.3</v>
      </c>
      <c r="H174" s="35">
        <f>IF('2026'!G174="","",'2026'!G174)</f>
        <v>12.4</v>
      </c>
      <c r="I174" s="23">
        <f>IF('2026'!H174="","",'2026'!H174)</f>
        <v>12.028</v>
      </c>
      <c r="J174" s="24">
        <f>IF('2026'!I174="","",'2026'!I174)</f>
        <v>11.78</v>
      </c>
      <c r="K174" s="25">
        <f>IF('2026'!J174="","",'2026'!J174)</f>
        <v>11.655999999999999</v>
      </c>
    </row>
    <row r="175" spans="1:11" x14ac:dyDescent="0.2">
      <c r="A175" s="57" t="str">
        <f>IF('2026'!B175="","",'2026'!B175)</f>
        <v/>
      </c>
      <c r="B175" s="239" t="str">
        <f>IF('2026'!C175="","",'2026'!C175)</f>
        <v/>
      </c>
      <c r="C175" s="139" t="str">
        <f>IF('2026'!D175="","",'2026'!D175)</f>
        <v>Neutron Area Light (2 watt)</v>
      </c>
      <c r="D175" s="147" t="s">
        <v>411</v>
      </c>
      <c r="E175" s="57" t="str">
        <f>IF('2026'!E175="","",'2026'!E175)</f>
        <v>each</v>
      </c>
      <c r="F175" s="57"/>
      <c r="G175" s="159">
        <f>IF('2026'!F175="","",'2026'!F175)</f>
        <v>118.4</v>
      </c>
      <c r="H175" s="35">
        <f>IF('2026'!G175="","",'2026'!G175)</f>
        <v>76.06</v>
      </c>
      <c r="I175" s="23">
        <f>IF('2026'!H175="","",'2026'!H175)</f>
        <v>73.778199999999998</v>
      </c>
      <c r="J175" s="24">
        <f>IF('2026'!I175="","",'2026'!I175)</f>
        <v>72.257000000000005</v>
      </c>
      <c r="K175" s="25">
        <f>IF('2026'!J175="","",'2026'!J175)</f>
        <v>71.496399999999994</v>
      </c>
    </row>
    <row r="176" spans="1:11" x14ac:dyDescent="0.2">
      <c r="A176" s="57" t="str">
        <f>IF('2026'!B176="","",'2026'!B176)</f>
        <v/>
      </c>
      <c r="B176" s="239" t="str">
        <f>IF('2026'!C176="","",'2026'!C176)</f>
        <v/>
      </c>
      <c r="C176" s="139" t="str">
        <f>IF('2026'!D176="","",'2026'!D176)</f>
        <v>ISO Ledge Light</v>
      </c>
      <c r="D176" s="147"/>
      <c r="E176" s="57" t="str">
        <f>IF('2026'!E176="","",'2026'!E176)</f>
        <v>each</v>
      </c>
      <c r="F176" s="57"/>
      <c r="G176" s="159">
        <f>IF('2026'!F176="","",'2026'!F176)</f>
        <v>86.25</v>
      </c>
      <c r="H176" s="35">
        <f>IF('2026'!G176="","",'2026'!G176)</f>
        <v>55.41</v>
      </c>
      <c r="I176" s="23">
        <f>IF('2026'!H176="","",'2026'!H176)</f>
        <v>53.747699999999995</v>
      </c>
      <c r="J176" s="24">
        <f>IF('2026'!I176="","",'2026'!I176)</f>
        <v>52.639499999999991</v>
      </c>
      <c r="K176" s="25">
        <f>IF('2026'!J176="","",'2026'!J176)</f>
        <v>52.085399999999993</v>
      </c>
    </row>
    <row r="177" spans="1:11" x14ac:dyDescent="0.2">
      <c r="A177" s="57" t="str">
        <f>IF('2026'!B177="","",'2026'!B177)</f>
        <v/>
      </c>
      <c r="B177" s="239" t="str">
        <f>IF('2026'!C177="","",'2026'!C177)</f>
        <v/>
      </c>
      <c r="C177" s="139" t="str">
        <f>IF('2026'!D177="","",'2026'!D177)</f>
        <v>Satellite HUB</v>
      </c>
      <c r="D177" s="147"/>
      <c r="E177" s="57" t="str">
        <f>IF('2026'!E177="","",'2026'!E177)</f>
        <v>each</v>
      </c>
      <c r="F177" s="57"/>
      <c r="G177" s="159">
        <f>IF('2026'!F177="","",'2026'!F177)</f>
        <v>57.95</v>
      </c>
      <c r="H177" s="35">
        <f>IF('2026'!G177="","",'2026'!G177)</f>
        <v>37.229999999999997</v>
      </c>
      <c r="I177" s="23">
        <f>IF('2026'!H177="","",'2026'!H177)</f>
        <v>36.113099999999996</v>
      </c>
      <c r="J177" s="24">
        <f>IF('2026'!I177="","",'2026'!I177)</f>
        <v>35.368499999999997</v>
      </c>
      <c r="K177" s="25">
        <f>IF('2026'!J177="","",'2026'!J177)</f>
        <v>34.996199999999995</v>
      </c>
    </row>
    <row r="178" spans="1:11" x14ac:dyDescent="0.2">
      <c r="A178" s="57" t="str">
        <f>IF('2026'!B178="","",'2026'!B178)</f>
        <v/>
      </c>
      <c r="B178" s="239" t="str">
        <f>IF('2026'!C178="","",'2026'!C178)</f>
        <v/>
      </c>
      <c r="C178" s="139" t="str">
        <f>IF('2026'!D178="","",'2026'!D178)</f>
        <v>SNPC2 Photocell</v>
      </c>
      <c r="D178" s="147"/>
      <c r="E178" s="57" t="str">
        <f>IF('2026'!E178="","",'2026'!E178)</f>
        <v>each</v>
      </c>
      <c r="F178" s="57"/>
      <c r="G178" s="159">
        <f>IF('2026'!F178="","",'2026'!F178)</f>
        <v>91.9</v>
      </c>
      <c r="H178" s="35">
        <f>IF('2026'!G178="","",'2026'!G178)</f>
        <v>59.04</v>
      </c>
      <c r="I178" s="23">
        <f>IF('2026'!H178="","",'2026'!H178)</f>
        <v>57.268799999999999</v>
      </c>
      <c r="J178" s="24">
        <f>IF('2026'!I178="","",'2026'!I178)</f>
        <v>56.087999999999994</v>
      </c>
      <c r="K178" s="25">
        <f>IF('2026'!J178="","",'2026'!J178)</f>
        <v>55.497599999999998</v>
      </c>
    </row>
    <row r="179" spans="1:11" x14ac:dyDescent="0.2">
      <c r="A179" s="57" t="str">
        <f>IF('2026'!B179="","",'2026'!B179)</f>
        <v/>
      </c>
      <c r="B179" s="239" t="str">
        <f>IF('2026'!C179="","",'2026'!C179)</f>
        <v/>
      </c>
      <c r="C179" s="139" t="str">
        <f>IF('2026'!D179="","",'2026'!D179)</f>
        <v>Interior Manual Timer</v>
      </c>
      <c r="D179" s="147"/>
      <c r="E179" s="57" t="str">
        <f>IF('2026'!E179="","",'2026'!E179)</f>
        <v>each</v>
      </c>
      <c r="F179" s="57"/>
      <c r="G179" s="159">
        <f>IF('2026'!F179="","",'2026'!F179)</f>
        <v>52</v>
      </c>
      <c r="H179" s="35">
        <f>IF('2026'!G179="","",'2026'!G179)</f>
        <v>33.409999999999997</v>
      </c>
      <c r="I179" s="23">
        <f>IF('2026'!H179="","",'2026'!H179)</f>
        <v>32.407699999999998</v>
      </c>
      <c r="J179" s="24">
        <f>IF('2026'!I179="","",'2026'!I179)</f>
        <v>31.739499999999996</v>
      </c>
      <c r="K179" s="25">
        <f>IF('2026'!J179="","",'2026'!J179)</f>
        <v>31.405399999999997</v>
      </c>
    </row>
    <row r="180" spans="1:11" x14ac:dyDescent="0.2">
      <c r="A180" s="57" t="str">
        <f>IF('2026'!B180="","",'2026'!B180)</f>
        <v/>
      </c>
      <c r="B180" s="239" t="str">
        <f>IF('2026'!C180="","",'2026'!C180)</f>
        <v/>
      </c>
      <c r="C180" s="139" t="str">
        <f>IF('2026'!D180="","",'2026'!D180)</f>
        <v>300W AC Transformer</v>
      </c>
      <c r="D180" s="147" t="s">
        <v>412</v>
      </c>
      <c r="E180" s="57" t="str">
        <f>IF('2026'!E180="","",'2026'!E180)</f>
        <v>each</v>
      </c>
      <c r="F180" s="57"/>
      <c r="G180" s="159">
        <f>IF('2026'!F180="","",'2026'!F180)</f>
        <v>404.01</v>
      </c>
      <c r="H180" s="35">
        <f>IF('2026'!G180="","",'2026'!G180)</f>
        <v>278.63</v>
      </c>
      <c r="I180" s="23">
        <f>IF('2026'!H180="","",'2026'!H180)</f>
        <v>270.27109999999999</v>
      </c>
      <c r="J180" s="24">
        <f>IF('2026'!I180="","",'2026'!I180)</f>
        <v>264.69849999999997</v>
      </c>
      <c r="K180" s="25">
        <f>IF('2026'!J180="","",'2026'!J180)</f>
        <v>261.91219999999998</v>
      </c>
    </row>
    <row r="181" spans="1:11" x14ac:dyDescent="0.2">
      <c r="A181" s="57" t="str">
        <f>IF('2026'!B181="","",'2026'!B181)</f>
        <v/>
      </c>
      <c r="B181" s="239" t="str">
        <f>IF('2026'!C181="","",'2026'!C181)</f>
        <v/>
      </c>
      <c r="C181" s="139" t="str">
        <f>IF('2026'!D181="","",'2026'!D181)</f>
        <v>200W AC Transformer</v>
      </c>
      <c r="D181" s="147" t="s">
        <v>773</v>
      </c>
      <c r="E181" s="57" t="str">
        <f>IF('2026'!E181="","",'2026'!E181)</f>
        <v>each</v>
      </c>
      <c r="F181" s="57"/>
      <c r="G181" s="159">
        <f>IF('2026'!F181="","",'2026'!F181)</f>
        <v>386.44</v>
      </c>
      <c r="H181" s="35">
        <f>IF('2026'!G181="","",'2026'!G181)</f>
        <v>270.51</v>
      </c>
      <c r="I181" s="23">
        <f>IF('2026'!H181="","",'2026'!H181)</f>
        <v>262.3947</v>
      </c>
      <c r="J181" s="24">
        <f>IF('2026'!I181="","",'2026'!I181)</f>
        <v>256.98449999999997</v>
      </c>
      <c r="K181" s="25">
        <f>IF('2026'!J181="","",'2026'!J181)</f>
        <v>254.27939999999998</v>
      </c>
    </row>
    <row r="182" spans="1:11" x14ac:dyDescent="0.2">
      <c r="A182" s="57" t="str">
        <f>IF('2026'!B182="","",'2026'!B182)</f>
        <v/>
      </c>
      <c r="B182" s="239" t="str">
        <f>IF('2026'!C182="","",'2026'!C182)</f>
        <v/>
      </c>
      <c r="C182" s="139" t="str">
        <f>IF('2026'!D182="","",'2026'!D182)</f>
        <v>100W AC Transformer</v>
      </c>
      <c r="D182" s="147" t="s">
        <v>772</v>
      </c>
      <c r="E182" s="57" t="str">
        <f>IF('2026'!E182="","",'2026'!E182)</f>
        <v>each</v>
      </c>
      <c r="F182" s="57"/>
      <c r="G182" s="159">
        <f>IF('2026'!F182="","",'2026'!F182)</f>
        <v>116.36</v>
      </c>
      <c r="H182" s="35">
        <f>IF('2026'!G182="","",'2026'!G182)</f>
        <v>80.25</v>
      </c>
      <c r="I182" s="23">
        <f>IF('2026'!H182="","",'2026'!H182)</f>
        <v>77.842500000000001</v>
      </c>
      <c r="J182" s="24">
        <f>IF('2026'!I182="","",'2026'!I182)</f>
        <v>76.237499999999997</v>
      </c>
      <c r="K182" s="25">
        <f>IF('2026'!J182="","",'2026'!J182)</f>
        <v>75.435000000000002</v>
      </c>
    </row>
    <row r="183" spans="1:11" x14ac:dyDescent="0.2">
      <c r="A183" s="57" t="str">
        <f>IF('2026'!B183="","",'2026'!B183)</f>
        <v/>
      </c>
      <c r="B183" s="239" t="str">
        <f>IF('2026'!C183="","",'2026'!C183)</f>
        <v/>
      </c>
      <c r="C183" s="139" t="str">
        <f>IF('2026'!D183="","",'2026'!D183)</f>
        <v>14/2 Low Voltage Wire 50 Ft</v>
      </c>
      <c r="D183" s="147" t="s">
        <v>413</v>
      </c>
      <c r="E183" s="57" t="str">
        <f>IF('2026'!E183="","",'2026'!E183)</f>
        <v>each</v>
      </c>
      <c r="F183" s="57"/>
      <c r="G183" s="159">
        <f>IF('2026'!F183="","",'2026'!F183)</f>
        <v>52.2</v>
      </c>
      <c r="H183" s="35">
        <f>IF('2026'!G183="","",'2026'!G183)</f>
        <v>36</v>
      </c>
      <c r="I183" s="23">
        <f>IF('2026'!H183="","",'2026'!H183)</f>
        <v>34.92</v>
      </c>
      <c r="J183" s="24">
        <f>IF('2026'!I183="","",'2026'!I183)</f>
        <v>34.199999999999996</v>
      </c>
      <c r="K183" s="25">
        <f>IF('2026'!J183="","",'2026'!J183)</f>
        <v>33.839999999999996</v>
      </c>
    </row>
    <row r="184" spans="1:11" x14ac:dyDescent="0.2">
      <c r="A184" s="57" t="str">
        <f>IF('2026'!B184="","",'2026'!B184)</f>
        <v/>
      </c>
      <c r="B184" s="239" t="str">
        <f>IF('2026'!C184="","",'2026'!C184)</f>
        <v/>
      </c>
      <c r="C184" s="139" t="str">
        <f>IF('2026'!D184="","",'2026'!D184)</f>
        <v>Waterproof Connector 10 Pack</v>
      </c>
      <c r="D184" s="147"/>
      <c r="E184" s="57" t="str">
        <f>IF('2026'!E184="","",'2026'!E184)</f>
        <v>each</v>
      </c>
      <c r="F184" s="57"/>
      <c r="G184" s="159">
        <f>IF('2026'!F184="","",'2026'!F184)</f>
        <v>31.54</v>
      </c>
      <c r="H184" s="191"/>
      <c r="I184" s="192"/>
      <c r="J184" s="193"/>
      <c r="K184" s="194"/>
    </row>
    <row r="185" spans="1:11" x14ac:dyDescent="0.2">
      <c r="A185" s="20"/>
      <c r="B185" s="49"/>
      <c r="C185" s="2" t="s">
        <v>422</v>
      </c>
      <c r="D185" s="20"/>
      <c r="E185" s="14"/>
      <c r="F185" s="14"/>
      <c r="G185" s="14"/>
      <c r="H185" s="48"/>
      <c r="I185" s="48"/>
      <c r="J185" s="48"/>
      <c r="K185" s="48"/>
    </row>
    <row r="186" spans="1:11" x14ac:dyDescent="0.2">
      <c r="A186" s="57" t="str">
        <f>IF('2026'!B186="","",'2026'!B186)</f>
        <v/>
      </c>
      <c r="B186" s="239" t="str">
        <f>IF('2026'!C186="","",'2026'!C186)</f>
        <v/>
      </c>
      <c r="C186" s="139" t="str">
        <f>IF('2026'!D186="","",'2026'!D186)</f>
        <v>Steel Edging - 10' Stick - 14 Ga. - Green, Brown, Black</v>
      </c>
      <c r="D186" s="147" t="s">
        <v>414</v>
      </c>
      <c r="E186" s="57" t="str">
        <f>IF('2026'!E186="","",'2026'!E186)</f>
        <v>each</v>
      </c>
      <c r="F186" s="57"/>
      <c r="G186" s="159">
        <f>IF('2026'!F186="","",'2026'!F186)</f>
        <v>33</v>
      </c>
      <c r="H186" s="35">
        <f>IF('2026'!G186="","",'2026'!G186)</f>
        <v>26</v>
      </c>
      <c r="I186" s="23">
        <f>IF('2026'!H186="","",'2026'!H186)</f>
        <v>25.22</v>
      </c>
      <c r="J186" s="24">
        <f>IF('2026'!I186="","",'2026'!I186)</f>
        <v>24.7</v>
      </c>
      <c r="K186" s="25">
        <f>IF('2026'!J186="","",'2026'!J186)</f>
        <v>24.439999999999998</v>
      </c>
    </row>
    <row r="187" spans="1:11" x14ac:dyDescent="0.2">
      <c r="A187" s="57" t="str">
        <f>IF('2026'!B187="","",'2026'!B187)</f>
        <v/>
      </c>
      <c r="B187" s="239" t="str">
        <f>IF('2026'!C187="","",'2026'!C187)</f>
        <v/>
      </c>
      <c r="C187" s="139" t="str">
        <f>IF('2026'!D187="","",'2026'!D187)</f>
        <v>Steel Edging Stake - Green, Brown, Black V Shape</v>
      </c>
      <c r="D187" s="147"/>
      <c r="E187" s="57" t="str">
        <f>IF('2026'!E187="","",'2026'!E187)</f>
        <v>each</v>
      </c>
      <c r="F187" s="57"/>
      <c r="G187" s="159">
        <f>IF('2026'!F187="","",'2026'!F187)</f>
        <v>1</v>
      </c>
      <c r="H187" s="35">
        <f>IF('2026'!G187="","",'2026'!G187)</f>
        <v>1</v>
      </c>
      <c r="I187" s="23">
        <f>IF('2026'!H187="","",'2026'!H187)</f>
        <v>0.97</v>
      </c>
      <c r="J187" s="24">
        <f>IF('2026'!I187="","",'2026'!I187)</f>
        <v>0.95</v>
      </c>
      <c r="K187" s="25">
        <f>IF('2026'!J187="","",'2026'!J187)</f>
        <v>0.94</v>
      </c>
    </row>
    <row r="188" spans="1:11" x14ac:dyDescent="0.2">
      <c r="A188" s="57" t="str">
        <f>IF('2026'!B188="","",'2026'!B188)</f>
        <v/>
      </c>
      <c r="B188" s="239" t="str">
        <f>IF('2026'!C188="","",'2026'!C188)</f>
        <v/>
      </c>
      <c r="C188" s="139" t="str">
        <f>IF('2026'!D188="","",'2026'!D188)</f>
        <v>Steel Edging - Corner Stake - Green, Brown, or Black</v>
      </c>
      <c r="D188" s="147"/>
      <c r="E188" s="57" t="str">
        <f>IF('2026'!E188="","",'2026'!E188)</f>
        <v>each</v>
      </c>
      <c r="F188" s="57"/>
      <c r="G188" s="159">
        <f>IF('2026'!F188="","",'2026'!F188)</f>
        <v>4</v>
      </c>
      <c r="H188" s="35">
        <f>IF('2026'!G188="","",'2026'!G188)</f>
        <v>4</v>
      </c>
      <c r="I188" s="23">
        <f>IF('2026'!H188="","",'2026'!H188)</f>
        <v>3.88</v>
      </c>
      <c r="J188" s="24">
        <f>IF('2026'!I188="","",'2026'!I188)</f>
        <v>3.8</v>
      </c>
      <c r="K188" s="25">
        <f>IF('2026'!J188="","",'2026'!J188)</f>
        <v>3.76</v>
      </c>
    </row>
    <row r="189" spans="1:11" x14ac:dyDescent="0.2">
      <c r="A189" s="57" t="str">
        <f>IF('2026'!B189="","",'2026'!B189)</f>
        <v/>
      </c>
      <c r="B189" s="239" t="str">
        <f>IF('2026'!C189="","",'2026'!C189)</f>
        <v/>
      </c>
      <c r="C189" s="139" t="str">
        <f>IF('2026'!D189="","",'2026'!D189)</f>
        <v>Steel Edging - End Stake - Brown</v>
      </c>
      <c r="D189" s="147"/>
      <c r="E189" s="57" t="str">
        <f>IF('2026'!E189="","",'2026'!E189)</f>
        <v>each</v>
      </c>
      <c r="F189" s="57"/>
      <c r="G189" s="159">
        <f>IF('2026'!F189="","",'2026'!F189)</f>
        <v>4</v>
      </c>
      <c r="H189" s="35">
        <f>IF('2026'!G189="","",'2026'!G189)</f>
        <v>3.4</v>
      </c>
      <c r="I189" s="23">
        <f>IF('2026'!H189="","",'2026'!H189)</f>
        <v>3.298</v>
      </c>
      <c r="J189" s="24">
        <f>IF('2026'!I189="","",'2026'!I189)</f>
        <v>3.23</v>
      </c>
      <c r="K189" s="25">
        <f>IF('2026'!J189="","",'2026'!J189)</f>
        <v>3.1959999999999997</v>
      </c>
    </row>
    <row r="190" spans="1:11" x14ac:dyDescent="0.2">
      <c r="A190" s="57" t="str">
        <f>IF('2026'!B190="","",'2026'!B190)</f>
        <v/>
      </c>
      <c r="B190" s="239" t="str">
        <f>IF('2026'!C190="","",'2026'!C190)</f>
        <v/>
      </c>
      <c r="C190" s="139" t="str">
        <f>IF('2026'!D190="","",'2026'!D190)</f>
        <v>Steel Edging - Splicing Stake - Green, Brown, or Black</v>
      </c>
      <c r="D190" s="147"/>
      <c r="E190" s="57" t="str">
        <f>IF('2026'!E190="","",'2026'!E190)</f>
        <v>each</v>
      </c>
      <c r="F190" s="57"/>
      <c r="G190" s="159">
        <f>IF('2026'!F190="","",'2026'!F190)</f>
        <v>3</v>
      </c>
      <c r="H190" s="35">
        <f>IF('2026'!G190="","",'2026'!G190)</f>
        <v>3</v>
      </c>
      <c r="I190" s="23">
        <f>IF('2026'!H190="","",'2026'!H190)</f>
        <v>2.91</v>
      </c>
      <c r="J190" s="24">
        <f>IF('2026'!I190="","",'2026'!I190)</f>
        <v>2.8499999999999996</v>
      </c>
      <c r="K190" s="25">
        <f>IF('2026'!J190="","",'2026'!J190)</f>
        <v>2.82</v>
      </c>
    </row>
    <row r="191" spans="1:11" hidden="1" x14ac:dyDescent="0.2">
      <c r="A191" s="20"/>
      <c r="B191" s="49"/>
      <c r="C191" s="2" t="s">
        <v>231</v>
      </c>
      <c r="D191" s="20"/>
      <c r="E191" s="14"/>
      <c r="F191" s="14"/>
      <c r="G191" s="14"/>
      <c r="H191" s="48"/>
      <c r="I191" s="48"/>
      <c r="J191" s="48"/>
      <c r="K191" s="48"/>
    </row>
    <row r="192" spans="1:11" hidden="1" x14ac:dyDescent="0.2">
      <c r="A192" s="57" t="str">
        <f>IF('2026'!B192="","",'2026'!B192)</f>
        <v/>
      </c>
      <c r="B192" s="239" t="str">
        <f>IF('2026'!C192="","",'2026'!C192)</f>
        <v>*</v>
      </c>
      <c r="C192" s="139" t="str">
        <f>IF('2026'!D192="","",'2026'!D192)</f>
        <v>4” 100 Ft Drain Pipe PERFORATED</v>
      </c>
      <c r="D192" s="147" t="s">
        <v>415</v>
      </c>
      <c r="E192" s="57" t="str">
        <f>IF('2026'!E192="","",'2026'!E192)</f>
        <v>each</v>
      </c>
      <c r="F192" s="57"/>
      <c r="G192" s="159">
        <f>IF('2026'!F192="","",'2026'!F192)</f>
        <v>127.07799999999999</v>
      </c>
      <c r="H192" s="35">
        <f>IF('2026'!G192="","",'2026'!G192)</f>
        <v>90.77</v>
      </c>
      <c r="I192" s="23">
        <f>IF('2026'!H192="","",'2026'!H192)</f>
        <v>90.77</v>
      </c>
      <c r="J192" s="24">
        <f>IF('2026'!I192="","",'2026'!I192)</f>
        <v>90.77</v>
      </c>
      <c r="K192" s="25">
        <f>IF('2026'!J192="","",'2026'!J192)</f>
        <v>90.77</v>
      </c>
    </row>
    <row r="193" spans="1:11" hidden="1" x14ac:dyDescent="0.2">
      <c r="A193" s="57" t="str">
        <f>IF('2026'!B193="","",'2026'!B193)</f>
        <v/>
      </c>
      <c r="B193" s="239" t="str">
        <f>IF('2026'!C193="","",'2026'!C193)</f>
        <v>*</v>
      </c>
      <c r="C193" s="139" t="str">
        <f>IF('2026'!D193="","",'2026'!D193)</f>
        <v>4” 100 Ft Drain Pipe PERFORATED with SOCK</v>
      </c>
      <c r="D193" s="147" t="s">
        <v>415</v>
      </c>
      <c r="E193" s="57" t="str">
        <f>IF('2026'!E193="","",'2026'!E193)</f>
        <v>each</v>
      </c>
      <c r="F193" s="57"/>
      <c r="G193" s="159">
        <f>IF('2026'!F193="","",'2026'!F193)</f>
        <v>158.35399999999998</v>
      </c>
      <c r="H193" s="35">
        <f>IF('2026'!G193="","",'2026'!G193)</f>
        <v>113.11</v>
      </c>
      <c r="I193" s="23">
        <f>IF('2026'!H193="","",'2026'!H193)</f>
        <v>113.11</v>
      </c>
      <c r="J193" s="24">
        <f>IF('2026'!I193="","",'2026'!I193)</f>
        <v>113.11</v>
      </c>
      <c r="K193" s="25">
        <f>IF('2026'!J193="","",'2026'!J193)</f>
        <v>113.11</v>
      </c>
    </row>
    <row r="194" spans="1:11" hidden="1" x14ac:dyDescent="0.2">
      <c r="A194" s="57" t="str">
        <f>IF('2026'!B194="","",'2026'!B194)</f>
        <v/>
      </c>
      <c r="B194" s="239" t="str">
        <f>IF('2026'!C194="","",'2026'!C194)</f>
        <v>*</v>
      </c>
      <c r="C194" s="139" t="str">
        <f>IF('2026'!D194="","",'2026'!D194)</f>
        <v>4” 100 Ft Drain Pipe SOLID</v>
      </c>
      <c r="D194" s="147" t="s">
        <v>415</v>
      </c>
      <c r="E194" s="57" t="str">
        <f>IF('2026'!E194="","",'2026'!E194)</f>
        <v>each</v>
      </c>
      <c r="F194" s="57"/>
      <c r="G194" s="159">
        <f>IF('2026'!F194="","",'2026'!F194)</f>
        <v>127.07799999999999</v>
      </c>
      <c r="H194" s="35">
        <f>IF('2026'!G194="","",'2026'!G194)</f>
        <v>90.77</v>
      </c>
      <c r="I194" s="23">
        <f>IF('2026'!H194="","",'2026'!H194)</f>
        <v>90.77</v>
      </c>
      <c r="J194" s="24">
        <f>IF('2026'!I194="","",'2026'!I194)</f>
        <v>90.77</v>
      </c>
      <c r="K194" s="25">
        <f>IF('2026'!J194="","",'2026'!J194)</f>
        <v>90.77</v>
      </c>
    </row>
    <row r="195" spans="1:11" hidden="1" x14ac:dyDescent="0.2">
      <c r="A195" s="57" t="str">
        <f>IF('2026'!B195="","",'2026'!B195)</f>
        <v/>
      </c>
      <c r="B195" s="239" t="str">
        <f>IF('2026'!C195="","",'2026'!C195)</f>
        <v>*</v>
      </c>
      <c r="C195" s="139" t="str">
        <f>IF('2026'!D195="","",'2026'!D195)</f>
        <v xml:space="preserve">2x3x4” Downspout Adapter </v>
      </c>
      <c r="D195" s="147" t="s">
        <v>416</v>
      </c>
      <c r="E195" s="57" t="str">
        <f>IF('2026'!E195="","",'2026'!E195)</f>
        <v>each</v>
      </c>
      <c r="F195" s="57"/>
      <c r="G195" s="159">
        <f>IF('2026'!F195="","",'2026'!F195)</f>
        <v>9.5060000000000002</v>
      </c>
      <c r="H195" s="35">
        <f>IF('2026'!G195="","",'2026'!G195)</f>
        <v>6.79</v>
      </c>
      <c r="I195" s="23">
        <f>IF('2026'!H195="","",'2026'!H195)</f>
        <v>6.79</v>
      </c>
      <c r="J195" s="24">
        <f>IF('2026'!I195="","",'2026'!I195)</f>
        <v>6.79</v>
      </c>
      <c r="K195" s="25">
        <f>IF('2026'!J195="","",'2026'!J195)</f>
        <v>6.79</v>
      </c>
    </row>
    <row r="196" spans="1:11" hidden="1" x14ac:dyDescent="0.2">
      <c r="A196" s="57" t="str">
        <f>IF('2026'!B196="","",'2026'!B196)</f>
        <v/>
      </c>
      <c r="B196" s="239" t="str">
        <f>IF('2026'!C196="","",'2026'!C196)</f>
        <v>*</v>
      </c>
      <c r="C196" s="139" t="str">
        <f>IF('2026'!D196="","",'2026'!D196)</f>
        <v>3x4x4” Downspout Adapter</v>
      </c>
      <c r="D196" s="147" t="s">
        <v>417</v>
      </c>
      <c r="E196" s="57" t="str">
        <f>IF('2026'!E196="","",'2026'!E196)</f>
        <v>each</v>
      </c>
      <c r="F196" s="57"/>
      <c r="G196" s="159">
        <f>IF('2026'!F196="","",'2026'!F196)</f>
        <v>9.8559999999999999</v>
      </c>
      <c r="H196" s="35">
        <f>IF('2026'!G196="","",'2026'!G196)</f>
        <v>7.04</v>
      </c>
      <c r="I196" s="23">
        <f>IF('2026'!H196="","",'2026'!H196)</f>
        <v>7.04</v>
      </c>
      <c r="J196" s="24">
        <f>IF('2026'!I196="","",'2026'!I196)</f>
        <v>7.04</v>
      </c>
      <c r="K196" s="25">
        <f>IF('2026'!J196="","",'2026'!J196)</f>
        <v>7.04</v>
      </c>
    </row>
    <row r="197" spans="1:11" hidden="1" x14ac:dyDescent="0.2">
      <c r="A197" s="57" t="str">
        <f>IF('2026'!B197="","",'2026'!B197)</f>
        <v/>
      </c>
      <c r="B197" s="239" t="str">
        <f>IF('2026'!C197="","",'2026'!C197)</f>
        <v>*</v>
      </c>
      <c r="C197" s="139" t="str">
        <f>IF('2026'!D197="","",'2026'!D197)</f>
        <v>6” Round Basin w/ 1 Outlet</v>
      </c>
      <c r="D197" s="147"/>
      <c r="E197" s="57" t="str">
        <f>IF('2026'!E197="","",'2026'!E197)</f>
        <v>each</v>
      </c>
      <c r="F197" s="57"/>
      <c r="G197" s="159">
        <f>IF('2026'!F197="","",'2026'!F197)</f>
        <v>18.2</v>
      </c>
      <c r="H197" s="35">
        <f>IF('2026'!G197="","",'2026'!G197)</f>
        <v>13</v>
      </c>
      <c r="I197" s="23">
        <f>IF('2026'!H197="","",'2026'!H197)</f>
        <v>13</v>
      </c>
      <c r="J197" s="24">
        <f>IF('2026'!I197="","",'2026'!I197)</f>
        <v>13</v>
      </c>
      <c r="K197" s="25">
        <f>IF('2026'!J197="","",'2026'!J197)</f>
        <v>13</v>
      </c>
    </row>
    <row r="198" spans="1:11" hidden="1" x14ac:dyDescent="0.2">
      <c r="A198" s="57" t="str">
        <f>IF('2026'!B198="","",'2026'!B198)</f>
        <v/>
      </c>
      <c r="B198" s="239" t="str">
        <f>IF('2026'!C198="","",'2026'!C198)</f>
        <v>*</v>
      </c>
      <c r="C198" s="139" t="str">
        <f>IF('2026'!D198="","",'2026'!D198)</f>
        <v>6” Round Basin Grate (Green)</v>
      </c>
      <c r="D198" s="147"/>
      <c r="E198" s="57" t="str">
        <f>IF('2026'!E198="","",'2026'!E198)</f>
        <v>each</v>
      </c>
      <c r="F198" s="57"/>
      <c r="G198" s="159">
        <f>IF('2026'!F198="","",'2026'!F198)</f>
        <v>9.8139999999999983</v>
      </c>
      <c r="H198" s="35">
        <f>IF('2026'!G198="","",'2026'!G198)</f>
        <v>7.01</v>
      </c>
      <c r="I198" s="23">
        <f>IF('2026'!H198="","",'2026'!H198)</f>
        <v>7.01</v>
      </c>
      <c r="J198" s="24">
        <f>IF('2026'!I198="","",'2026'!I198)</f>
        <v>7.01</v>
      </c>
      <c r="K198" s="25">
        <f>IF('2026'!J198="","",'2026'!J198)</f>
        <v>7.01</v>
      </c>
    </row>
    <row r="199" spans="1:11" hidden="1" x14ac:dyDescent="0.2">
      <c r="A199" s="57" t="str">
        <f>IF('2026'!B199="","",'2026'!B199)</f>
        <v/>
      </c>
      <c r="B199" s="239" t="str">
        <f>IF('2026'!C199="","",'2026'!C199)</f>
        <v>*</v>
      </c>
      <c r="C199" s="139" t="str">
        <f>IF('2026'!D199="","",'2026'!D199)</f>
        <v>4” Poly Drain 90’ Elbow</v>
      </c>
      <c r="D199" s="147"/>
      <c r="E199" s="57" t="str">
        <f>IF('2026'!E199="","",'2026'!E199)</f>
        <v>each</v>
      </c>
      <c r="F199" s="57"/>
      <c r="G199" s="159">
        <f>IF('2026'!F199="","",'2026'!F199)</f>
        <v>13.103999999999999</v>
      </c>
      <c r="H199" s="35">
        <f>IF('2026'!G199="","",'2026'!G199)</f>
        <v>9.36</v>
      </c>
      <c r="I199" s="23">
        <f>IF('2026'!H199="","",'2026'!H199)</f>
        <v>9.36</v>
      </c>
      <c r="J199" s="24">
        <f>IF('2026'!I199="","",'2026'!I199)</f>
        <v>9.36</v>
      </c>
      <c r="K199" s="25">
        <f>IF('2026'!J199="","",'2026'!J199)</f>
        <v>9.36</v>
      </c>
    </row>
    <row r="200" spans="1:11" hidden="1" x14ac:dyDescent="0.2">
      <c r="A200" s="57" t="str">
        <f>IF('2026'!B200="","",'2026'!B200)</f>
        <v/>
      </c>
      <c r="B200" s="239" t="str">
        <f>IF('2026'!C200="","",'2026'!C200)</f>
        <v>*</v>
      </c>
      <c r="C200" s="139" t="str">
        <f>IF('2026'!D200="","",'2026'!D200)</f>
        <v>4" Poly Drain Wye</v>
      </c>
      <c r="D200" s="147"/>
      <c r="E200" s="57" t="str">
        <f>IF('2026'!E200="","",'2026'!E200)</f>
        <v>each</v>
      </c>
      <c r="F200" s="57"/>
      <c r="G200" s="159">
        <f>IF('2026'!F200="","",'2026'!F200)</f>
        <v>19.207999999999998</v>
      </c>
      <c r="H200" s="35">
        <f>IF('2026'!G200="","",'2026'!G200)</f>
        <v>13.72</v>
      </c>
      <c r="I200" s="23">
        <f>IF('2026'!H200="","",'2026'!H200)</f>
        <v>13.72</v>
      </c>
      <c r="J200" s="24">
        <f>IF('2026'!I200="","",'2026'!I200)</f>
        <v>13.72</v>
      </c>
      <c r="K200" s="25">
        <f>IF('2026'!J200="","",'2026'!J200)</f>
        <v>13.72</v>
      </c>
    </row>
    <row r="201" spans="1:11" hidden="1" x14ac:dyDescent="0.2">
      <c r="A201" s="57" t="str">
        <f>IF('2026'!B201="","",'2026'!B201)</f>
        <v/>
      </c>
      <c r="B201" s="239" t="str">
        <f>IF('2026'!C201="","",'2026'!C201)</f>
        <v>*</v>
      </c>
      <c r="C201" s="139" t="str">
        <f>IF('2026'!D201="","",'2026'!D201)</f>
        <v>4" Poly Drain Tee</v>
      </c>
      <c r="D201" s="147"/>
      <c r="E201" s="57" t="str">
        <f>IF('2026'!E201="","",'2026'!E201)</f>
        <v>each</v>
      </c>
      <c r="F201" s="57"/>
      <c r="G201" s="159">
        <f>IF('2026'!F201="","",'2026'!F201)</f>
        <v>11.536</v>
      </c>
      <c r="H201" s="35">
        <f>IF('2026'!G201="","",'2026'!G201)</f>
        <v>8.24</v>
      </c>
      <c r="I201" s="23">
        <f>IF('2026'!H201="","",'2026'!H201)</f>
        <v>8.24</v>
      </c>
      <c r="J201" s="24">
        <f>IF('2026'!I201="","",'2026'!I201)</f>
        <v>8.24</v>
      </c>
      <c r="K201" s="25">
        <f>IF('2026'!J201="","",'2026'!J201)</f>
        <v>8.24</v>
      </c>
    </row>
    <row r="202" spans="1:11" hidden="1" x14ac:dyDescent="0.2">
      <c r="A202" s="57" t="str">
        <f>IF('2026'!B202="","",'2026'!B202)</f>
        <v/>
      </c>
      <c r="B202" s="239" t="str">
        <f>IF('2026'!C202="","",'2026'!C202)</f>
        <v>*</v>
      </c>
      <c r="C202" s="139" t="str">
        <f>IF('2026'!D202="","",'2026'!D202)</f>
        <v>4" Pop Up Emitter with Elbow</v>
      </c>
      <c r="D202" s="147"/>
      <c r="E202" s="57" t="str">
        <f>IF('2026'!E202="","",'2026'!E202)</f>
        <v>each</v>
      </c>
      <c r="F202" s="57"/>
      <c r="G202" s="159">
        <f>IF('2026'!F202="","",'2026'!F202)</f>
        <v>42.966000000000001</v>
      </c>
      <c r="H202" s="35">
        <f>IF('2026'!G202="","",'2026'!G202)</f>
        <v>30.69</v>
      </c>
      <c r="I202" s="23">
        <f>IF('2026'!H202="","",'2026'!H202)</f>
        <v>30.69</v>
      </c>
      <c r="J202" s="24">
        <f>IF('2026'!I202="","",'2026'!I202)</f>
        <v>30.69</v>
      </c>
      <c r="K202" s="25">
        <f>IF('2026'!J202="","",'2026'!J202)</f>
        <v>30.69</v>
      </c>
    </row>
    <row r="203" spans="1:11" hidden="1" x14ac:dyDescent="0.2">
      <c r="A203" s="57" t="str">
        <f>IF('2026'!B203="","",'2026'!B203)</f>
        <v/>
      </c>
      <c r="B203" s="239" t="str">
        <f>IF('2026'!C203="","",'2026'!C203)</f>
        <v>*</v>
      </c>
      <c r="C203" s="139" t="str">
        <f>IF('2026'!D203="","",'2026'!D203)</f>
        <v>4" Pop Up Emitter Only</v>
      </c>
      <c r="D203" s="147"/>
      <c r="E203" s="57" t="str">
        <f>IF('2026'!E203="","",'2026'!E203)</f>
        <v>each</v>
      </c>
      <c r="F203" s="57"/>
      <c r="G203" s="159">
        <f>IF('2026'!F203="","",'2026'!F203)</f>
        <v>24.527999999999999</v>
      </c>
      <c r="H203" s="35">
        <f>IF('2026'!G203="","",'2026'!G203)</f>
        <v>17.52</v>
      </c>
      <c r="I203" s="23">
        <f>IF('2026'!H203="","",'2026'!H203)</f>
        <v>17.52</v>
      </c>
      <c r="J203" s="24">
        <f>IF('2026'!I203="","",'2026'!I203)</f>
        <v>17.52</v>
      </c>
      <c r="K203" s="25">
        <f>IF('2026'!J203="","",'2026'!J203)</f>
        <v>17.52</v>
      </c>
    </row>
    <row r="204" spans="1:11" hidden="1" x14ac:dyDescent="0.2">
      <c r="A204" s="57" t="str">
        <f>IF('2026'!B204="","",'2026'!B204)</f>
        <v/>
      </c>
      <c r="B204" s="239" t="str">
        <f>IF('2026'!C204="","",'2026'!C204)</f>
        <v>*</v>
      </c>
      <c r="C204" s="139" t="str">
        <f>IF('2026'!D204="","",'2026'!D204)</f>
        <v>4" Pop Up Emitter with Elbow and Hub</v>
      </c>
      <c r="D204" s="147"/>
      <c r="E204" s="57" t="str">
        <f>IF('2026'!E204="","",'2026'!E204)</f>
        <v>each</v>
      </c>
      <c r="F204" s="57"/>
      <c r="G204" s="159">
        <f>IF('2026'!F204="","",'2026'!F204)</f>
        <v>32.997999999999998</v>
      </c>
      <c r="H204" s="35">
        <f>IF('2026'!G204="","",'2026'!G204)</f>
        <v>23.57</v>
      </c>
      <c r="I204" s="23">
        <f>IF('2026'!H204="","",'2026'!H204)</f>
        <v>23.57</v>
      </c>
      <c r="J204" s="24">
        <f>IF('2026'!I204="","",'2026'!I204)</f>
        <v>23.57</v>
      </c>
      <c r="K204" s="25">
        <f>IF('2026'!J204="","",'2026'!J204)</f>
        <v>23.57</v>
      </c>
    </row>
    <row r="205" spans="1:11" hidden="1" x14ac:dyDescent="0.2">
      <c r="A205" s="57" t="str">
        <f>IF('2026'!B205="","",'2026'!B205)</f>
        <v/>
      </c>
      <c r="B205" s="239" t="str">
        <f>IF('2026'!C205="","",'2026'!C205)</f>
        <v>*</v>
      </c>
      <c r="C205" s="139" t="str">
        <f>IF('2026'!D205="","",'2026'!D205)</f>
        <v>4” Internal Coupler</v>
      </c>
      <c r="D205" s="147"/>
      <c r="E205" s="57" t="str">
        <f>IF('2026'!E205="","",'2026'!E205)</f>
        <v>each</v>
      </c>
      <c r="F205" s="57"/>
      <c r="G205" s="159">
        <f>IF('2026'!F205="","",'2026'!F205)</f>
        <v>5.04</v>
      </c>
      <c r="H205" s="35">
        <f>IF('2026'!G205="","",'2026'!G205)</f>
        <v>3.6</v>
      </c>
      <c r="I205" s="23">
        <f>IF('2026'!H205="","",'2026'!H205)</f>
        <v>3.6</v>
      </c>
      <c r="J205" s="24">
        <f>IF('2026'!I205="","",'2026'!I205)</f>
        <v>3.6</v>
      </c>
      <c r="K205" s="25">
        <f>IF('2026'!J205="","",'2026'!J205)</f>
        <v>3.6</v>
      </c>
    </row>
    <row r="206" spans="1:11" hidden="1" x14ac:dyDescent="0.2">
      <c r="A206" s="57" t="str">
        <f>IF('2026'!B206="","",'2026'!B206)</f>
        <v/>
      </c>
      <c r="B206" s="239" t="str">
        <f>IF('2026'!C206="","",'2026'!C206)</f>
        <v>*</v>
      </c>
      <c r="C206" s="139" t="str">
        <f>IF('2026'!D206="","",'2026'!D206)</f>
        <v>4" PVC to Corrugated Adapter</v>
      </c>
      <c r="D206" s="147"/>
      <c r="E206" s="57" t="str">
        <f>IF('2026'!E206="","",'2026'!E206)</f>
        <v>each</v>
      </c>
      <c r="F206" s="57"/>
      <c r="G206" s="159">
        <f>IF('2026'!F206="","",'2026'!F206)</f>
        <v>9.2959999999999994</v>
      </c>
      <c r="H206" s="35">
        <f>IF('2026'!G206="","",'2026'!G206)</f>
        <v>6.64</v>
      </c>
      <c r="I206" s="23">
        <f>IF('2026'!H206="","",'2026'!H206)</f>
        <v>6.64</v>
      </c>
      <c r="J206" s="24">
        <f>IF('2026'!I206="","",'2026'!I206)</f>
        <v>6.64</v>
      </c>
      <c r="K206" s="25">
        <f>IF('2026'!J206="","",'2026'!J206)</f>
        <v>6.64</v>
      </c>
    </row>
    <row r="207" spans="1:11" hidden="1" x14ac:dyDescent="0.2">
      <c r="A207" s="57" t="str">
        <f>IF('2026'!B207="","",'2026'!B207)</f>
        <v/>
      </c>
      <c r="B207" s="239" t="str">
        <f>IF('2026'!C207="","",'2026'!C207)</f>
        <v>*</v>
      </c>
      <c r="C207" s="139" t="str">
        <f>IF('2026'!D207="","",'2026'!D207)</f>
        <v>Pipe Wrap Tape</v>
      </c>
      <c r="D207" s="147"/>
      <c r="E207" s="57" t="str">
        <f>IF('2026'!E207="","",'2026'!E207)</f>
        <v>each</v>
      </c>
      <c r="F207" s="57"/>
      <c r="G207" s="159">
        <f>IF('2026'!F207="","",'2026'!F207)</f>
        <v>16.295999999999999</v>
      </c>
      <c r="H207" s="35">
        <f>IF('2026'!G207="","",'2026'!G207)</f>
        <v>11.64</v>
      </c>
      <c r="I207" s="23">
        <f>IF('2026'!H207="","",'2026'!H207)</f>
        <v>11.64</v>
      </c>
      <c r="J207" s="24">
        <f>IF('2026'!I207="","",'2026'!I207)</f>
        <v>11.64</v>
      </c>
      <c r="K207" s="25">
        <f>IF('2026'!J207="","",'2026'!J207)</f>
        <v>11.64</v>
      </c>
    </row>
    <row r="208" spans="1:11" hidden="1" x14ac:dyDescent="0.2">
      <c r="A208" s="57" t="str">
        <f>IF('2026'!B208="","",'2026'!B208)</f>
        <v/>
      </c>
      <c r="B208" s="239" t="str">
        <f>IF('2026'!C208="","",'2026'!C208)</f>
        <v>*</v>
      </c>
      <c r="C208" s="139" t="str">
        <f>IF('2026'!D208="","",'2026'!D208)</f>
        <v>Wall Drain Pro - Grey, Tan, Black</v>
      </c>
      <c r="D208" s="147"/>
      <c r="E208" s="57" t="str">
        <f>IF('2026'!E208="","",'2026'!E208)</f>
        <v>each</v>
      </c>
      <c r="F208" s="57"/>
      <c r="G208" s="159">
        <f>IF('2026'!F208="","",'2026'!F208)</f>
        <v>16.26408</v>
      </c>
      <c r="H208" s="35"/>
      <c r="I208" s="23"/>
      <c r="J208" s="24"/>
      <c r="K208" s="25"/>
    </row>
    <row r="209" spans="1:11" x14ac:dyDescent="0.2">
      <c r="A209" s="20"/>
      <c r="B209" s="49"/>
      <c r="C209" s="2" t="s">
        <v>174</v>
      </c>
      <c r="D209" s="20"/>
      <c r="E209" s="14"/>
      <c r="F209" s="14"/>
      <c r="G209" s="14"/>
      <c r="H209" s="48"/>
      <c r="I209" s="48"/>
      <c r="J209" s="48"/>
      <c r="K209" s="48"/>
    </row>
    <row r="210" spans="1:11" x14ac:dyDescent="0.2">
      <c r="A210" s="57" t="str">
        <f>IF('2026'!B210="","",'2026'!B210)</f>
        <v/>
      </c>
      <c r="B210" s="239" t="str">
        <f>IF('2026'!C210="","",'2026'!C210)</f>
        <v/>
      </c>
      <c r="C210" s="139" t="str">
        <f>IF('2026'!D210="","",'2026'!D210)</f>
        <v>Landscaper's Mix 50 lbs</v>
      </c>
      <c r="D210" s="147" t="s">
        <v>410</v>
      </c>
      <c r="E210" s="57" t="str">
        <f>IF('2026'!E210="","",'2026'!E210)</f>
        <v>bag</v>
      </c>
      <c r="F210" s="57"/>
      <c r="G210" s="159">
        <f>IF('2026'!F210="","",'2026'!F210)</f>
        <v>92</v>
      </c>
      <c r="H210" s="35">
        <f>IF('2026'!G210="","",'2026'!G210)</f>
        <v>74</v>
      </c>
      <c r="I210" s="23">
        <f>IF('2026'!H210="","",'2026'!H210)</f>
        <v>71.78</v>
      </c>
      <c r="J210" s="24">
        <f>IF('2026'!I210="","",'2026'!I210)</f>
        <v>70.3</v>
      </c>
      <c r="K210" s="25">
        <f>IF('2026'!J210="","",'2026'!J210)</f>
        <v>69.56</v>
      </c>
    </row>
    <row r="211" spans="1:11" x14ac:dyDescent="0.2">
      <c r="A211" s="57" t="str">
        <f>IF('2026'!B211="","",'2026'!B211)</f>
        <v/>
      </c>
      <c r="B211" s="239" t="str">
        <f>IF('2026'!C211="","",'2026'!C211)</f>
        <v/>
      </c>
      <c r="C211" s="139" t="str">
        <f>IF('2026'!D211="","",'2026'!D211)</f>
        <v>Tri Star Fescue 50 lbs</v>
      </c>
      <c r="D211" s="147" t="s">
        <v>410</v>
      </c>
      <c r="E211" s="57" t="str">
        <f>IF('2026'!E211="","",'2026'!E211)</f>
        <v>bag</v>
      </c>
      <c r="F211" s="57"/>
      <c r="G211" s="159">
        <f>IF('2026'!F211="","",'2026'!F211)</f>
        <v>133</v>
      </c>
      <c r="H211" s="35">
        <f>IF('2026'!G211="","",'2026'!G211)</f>
        <v>107</v>
      </c>
      <c r="I211" s="23">
        <f>IF('2026'!H211="","",'2026'!H211)</f>
        <v>103.78999999999999</v>
      </c>
      <c r="J211" s="24">
        <f>IF('2026'!I211="","",'2026'!I211)</f>
        <v>101.64999999999999</v>
      </c>
      <c r="K211" s="25">
        <f>IF('2026'!J211="","",'2026'!J211)</f>
        <v>100.58</v>
      </c>
    </row>
    <row r="212" spans="1:11" x14ac:dyDescent="0.2">
      <c r="A212" s="57" t="str">
        <f>IF('2026'!B212="","",'2026'!B212)</f>
        <v/>
      </c>
      <c r="B212" s="239" t="str">
        <f>IF('2026'!C212="","",'2026'!C212)</f>
        <v/>
      </c>
      <c r="C212" s="139" t="str">
        <f>IF('2026'!D212="","",'2026'!D212)</f>
        <v>Tri Star Fescue 25 lbs</v>
      </c>
      <c r="D212" s="147" t="s">
        <v>419</v>
      </c>
      <c r="E212" s="57" t="str">
        <f>IF('2026'!E212="","",'2026'!E212)</f>
        <v>bag</v>
      </c>
      <c r="F212" s="57"/>
      <c r="G212" s="159">
        <f>IF('2026'!F212="","",'2026'!F212)</f>
        <v>69</v>
      </c>
      <c r="H212" s="35">
        <f>IF('2026'!G212="","",'2026'!G212)</f>
        <v>55</v>
      </c>
      <c r="I212" s="23">
        <f>IF('2026'!H212="","",'2026'!H212)</f>
        <v>53.35</v>
      </c>
      <c r="J212" s="24">
        <f>IF('2026'!I212="","",'2026'!I212)</f>
        <v>52.25</v>
      </c>
      <c r="K212" s="25">
        <f>IF('2026'!J212="","",'2026'!J212)</f>
        <v>51.699999999999996</v>
      </c>
    </row>
    <row r="213" spans="1:11" x14ac:dyDescent="0.2">
      <c r="A213" s="57" t="str">
        <f>IF('2026'!B213="","",'2026'!B213)</f>
        <v/>
      </c>
      <c r="B213" s="239" t="str">
        <f>IF('2026'!C213="","",'2026'!C213)</f>
        <v/>
      </c>
      <c r="C213" s="139" t="str">
        <f>IF('2026'!D213="","",'2026'!D213)</f>
        <v>Tri Star Fescue 5 lbs</v>
      </c>
      <c r="D213" s="147" t="s">
        <v>418</v>
      </c>
      <c r="E213" s="57" t="str">
        <f>IF('2026'!E213="","",'2026'!E213)</f>
        <v>bag</v>
      </c>
      <c r="F213" s="57"/>
      <c r="G213" s="159">
        <f>IF('2026'!F213="","",'2026'!F213)</f>
        <v>21</v>
      </c>
      <c r="H213" s="35">
        <f>IF('2026'!G213="","",'2026'!G213)</f>
        <v>17</v>
      </c>
      <c r="I213" s="23">
        <f>IF('2026'!H213="","",'2026'!H213)</f>
        <v>16.489999999999998</v>
      </c>
      <c r="J213" s="24">
        <f>IF('2026'!I213="","",'2026'!I213)</f>
        <v>16.149999999999999</v>
      </c>
      <c r="K213" s="25">
        <f>IF('2026'!J213="","",'2026'!J213)</f>
        <v>15.979999999999999</v>
      </c>
    </row>
    <row r="214" spans="1:11" x14ac:dyDescent="0.2">
      <c r="A214" s="20"/>
      <c r="B214" s="49"/>
      <c r="C214" s="2" t="s">
        <v>180</v>
      </c>
      <c r="D214" s="20"/>
      <c r="E214" s="14"/>
      <c r="F214" s="14"/>
      <c r="G214" s="14"/>
      <c r="H214" s="48"/>
      <c r="I214" s="48"/>
      <c r="J214" s="48"/>
      <c r="K214" s="48"/>
    </row>
    <row r="215" spans="1:11" x14ac:dyDescent="0.2">
      <c r="A215" s="57" t="str">
        <f>IF('2026'!B215="","",'2026'!B215)</f>
        <v/>
      </c>
      <c r="B215" s="239" t="str">
        <f>IF('2026'!C215="","",'2026'!C215)</f>
        <v/>
      </c>
      <c r="C215" s="139" t="str">
        <f>IF('2026'!D215="","",'2026'!D215)</f>
        <v>Starter Fertilizer</v>
      </c>
      <c r="D215" s="147" t="s">
        <v>410</v>
      </c>
      <c r="E215" s="57" t="str">
        <f>IF('2026'!E215="","",'2026'!E215)</f>
        <v>bag</v>
      </c>
      <c r="F215" s="57"/>
      <c r="G215" s="159">
        <f>IF('2026'!F215="","",'2026'!F215)</f>
        <v>55</v>
      </c>
      <c r="H215" s="35">
        <f>IF('2026'!G215="","",'2026'!G215)</f>
        <v>39</v>
      </c>
      <c r="I215" s="23">
        <f>IF('2026'!H215="","",'2026'!H215)</f>
        <v>37.83</v>
      </c>
      <c r="J215" s="24">
        <f>IF('2026'!I215="","",'2026'!I215)</f>
        <v>37.049999999999997</v>
      </c>
      <c r="K215" s="25">
        <f>IF('2026'!J215="","",'2026'!J215)</f>
        <v>36.659999999999997</v>
      </c>
    </row>
    <row r="216" spans="1:11" x14ac:dyDescent="0.2">
      <c r="A216" s="20"/>
      <c r="B216" s="49"/>
      <c r="C216" s="2" t="s">
        <v>421</v>
      </c>
      <c r="D216" s="20"/>
      <c r="E216" s="14"/>
      <c r="F216" s="14"/>
      <c r="G216" s="14"/>
      <c r="H216" s="48"/>
      <c r="I216" s="48"/>
      <c r="J216" s="48"/>
      <c r="K216" s="48"/>
    </row>
    <row r="217" spans="1:11" x14ac:dyDescent="0.2">
      <c r="A217" s="57" t="str">
        <f>IF('2026'!B217="","",'2026'!B217)</f>
        <v/>
      </c>
      <c r="B217" s="239" t="str">
        <f>IF('2026'!C217="","",'2026'!C217)</f>
        <v/>
      </c>
      <c r="C217" s="139" t="str">
        <f>IF('2026'!D217="","",'2026'!D217)</f>
        <v>1 Roll = 1 Square Yard</v>
      </c>
      <c r="D217" s="147" t="s">
        <v>420</v>
      </c>
      <c r="E217" s="57" t="str">
        <f>IF('2026'!E217="","",'2026'!E217)</f>
        <v>sq yd</v>
      </c>
      <c r="F217" s="57"/>
      <c r="G217" s="159">
        <f>IF('2026'!F217="","",'2026'!F217)</f>
        <v>8</v>
      </c>
      <c r="H217" s="35">
        <f>IF('2026'!G217="","",'2026'!G217)</f>
        <v>5</v>
      </c>
      <c r="I217" s="23">
        <f>IF('2026'!H217="","",'2026'!H217)</f>
        <v>5</v>
      </c>
      <c r="J217" s="24">
        <f>IF('2026'!I217="","",'2026'!I217)</f>
        <v>5</v>
      </c>
      <c r="K217" s="25">
        <f>IF('2026'!J217="","",'2026'!J217)</f>
        <v>5</v>
      </c>
    </row>
    <row r="218" spans="1:11" x14ac:dyDescent="0.2">
      <c r="A218" s="57" t="str">
        <f>IF('2026'!B218="","",'2026'!B218)</f>
        <v/>
      </c>
      <c r="B218" s="239" t="str">
        <f>IF('2026'!C218="","",'2026'!C218)</f>
        <v/>
      </c>
      <c r="C218" s="139" t="str">
        <f>IF('2026'!D218="","",'2026'!D218)</f>
        <v>Pallet Deposit - refund w/ receipt</v>
      </c>
      <c r="D218" s="57"/>
      <c r="E218" s="57" t="str">
        <f>IF('2026'!E218="","",'2026'!E218)</f>
        <v>pallet</v>
      </c>
      <c r="F218" s="57"/>
      <c r="G218" s="159">
        <f>IF('2026'!F218="","",'2026'!F218)</f>
        <v>20</v>
      </c>
      <c r="H218" s="35">
        <f>IF('2026'!G218="","",'2026'!G218)</f>
        <v>20</v>
      </c>
      <c r="I218" s="23">
        <f>IF('2026'!H218="","",'2026'!H218)</f>
        <v>20</v>
      </c>
      <c r="J218" s="24">
        <f>IF('2026'!I218="","",'2026'!I218)</f>
        <v>20</v>
      </c>
      <c r="K218" s="25">
        <f>IF('2026'!J218="","",'2026'!J218)</f>
        <v>20</v>
      </c>
    </row>
    <row r="219" spans="1:11" ht="21.75" customHeight="1" x14ac:dyDescent="0.2">
      <c r="A219" s="287"/>
      <c r="B219" s="288"/>
      <c r="C219" s="288"/>
      <c r="D219" s="288"/>
      <c r="E219" s="288"/>
      <c r="F219" s="288"/>
      <c r="G219" s="288"/>
      <c r="H219" s="288"/>
      <c r="I219" s="288"/>
      <c r="J219" s="288"/>
      <c r="K219" s="288"/>
    </row>
  </sheetData>
  <mergeCells count="10">
    <mergeCell ref="A1:G1"/>
    <mergeCell ref="D125:D130"/>
    <mergeCell ref="D132:D139"/>
    <mergeCell ref="A219:K219"/>
    <mergeCell ref="A101:G101"/>
    <mergeCell ref="A2:K2"/>
    <mergeCell ref="D75:D82"/>
    <mergeCell ref="A112:K112"/>
    <mergeCell ref="A121:K121"/>
    <mergeCell ref="D5:D11"/>
  </mergeCells>
  <phoneticPr fontId="21" type="noConversion"/>
  <printOptions horizontalCentered="1" gridLines="1"/>
  <pageMargins left="0.1" right="0.1" top="0.6" bottom="0.15" header="0.15" footer="0.15"/>
  <pageSetup orientation="portrait" horizontalDpi="1200" verticalDpi="1200" r:id="rId1"/>
  <headerFooter>
    <oddHeader>&amp;C&amp;G</oddHeader>
    <oddFooter>&amp;L&amp;10PLEASE NOTE: Prices subject to change without notice.&amp;R&amp;10Updated &amp;D</oddFooter>
  </headerFooter>
  <rowBreaks count="4" manualBreakCount="4">
    <brk id="42" max="10" man="1"/>
    <brk id="100" max="10" man="1"/>
    <brk id="156" max="10" man="1"/>
    <brk id="218" max="10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55178-F90B-41E7-8A71-10B03EE027DB}">
  <dimension ref="A1:W224"/>
  <sheetViews>
    <sheetView workbookViewId="0"/>
  </sheetViews>
  <sheetFormatPr defaultColWidth="9.140625" defaultRowHeight="12" x14ac:dyDescent="0.2"/>
  <cols>
    <col min="1" max="1" width="7" style="59" customWidth="1"/>
    <col min="2" max="2" width="42.42578125" style="3" bestFit="1" customWidth="1"/>
    <col min="3" max="3" width="11.85546875" style="9" customWidth="1"/>
    <col min="4" max="4" width="10.7109375" style="45" customWidth="1"/>
    <col min="5" max="5" width="10.7109375" style="46" customWidth="1"/>
    <col min="6" max="6" width="10.7109375" style="51" customWidth="1"/>
    <col min="7" max="7" width="10.7109375" style="52" customWidth="1"/>
    <col min="8" max="8" width="10.7109375" style="53" customWidth="1"/>
    <col min="9" max="9" width="9.140625" style="1"/>
    <col min="10" max="11" width="7.7109375" style="71" bestFit="1" customWidth="1"/>
    <col min="12" max="13" width="7.7109375" style="72" bestFit="1" customWidth="1"/>
    <col min="14" max="14" width="9.140625" style="1"/>
    <col min="15" max="15" width="24.140625" style="1" bestFit="1" customWidth="1"/>
    <col min="16" max="21" width="9.140625" style="1"/>
    <col min="22" max="22" width="16.5703125" style="1" bestFit="1" customWidth="1"/>
    <col min="23" max="23" width="12" style="1" bestFit="1" customWidth="1"/>
    <col min="24" max="16384" width="9.140625" style="1"/>
  </cols>
  <sheetData>
    <row r="1" spans="1:23" x14ac:dyDescent="0.2">
      <c r="A1" s="54"/>
      <c r="F1" s="26">
        <v>0.03</v>
      </c>
      <c r="G1" s="27">
        <v>0.05</v>
      </c>
      <c r="H1" s="28">
        <v>0.06</v>
      </c>
      <c r="O1" s="86" t="s">
        <v>261</v>
      </c>
      <c r="P1" s="87">
        <v>0.03</v>
      </c>
    </row>
    <row r="2" spans="1:23" ht="23.25" customHeight="1" x14ac:dyDescent="0.3">
      <c r="A2" s="275" t="s">
        <v>207</v>
      </c>
      <c r="B2" s="276"/>
      <c r="C2" s="276"/>
      <c r="D2" s="276"/>
      <c r="E2" s="276"/>
      <c r="F2" s="276"/>
      <c r="G2" s="276"/>
      <c r="H2" s="276"/>
      <c r="J2" s="73"/>
      <c r="K2" s="73"/>
      <c r="L2" s="73"/>
      <c r="M2" s="73"/>
    </row>
    <row r="3" spans="1:23" ht="33.75" x14ac:dyDescent="0.2">
      <c r="A3" s="55" t="s">
        <v>5</v>
      </c>
      <c r="B3" s="4" t="s">
        <v>205</v>
      </c>
      <c r="C3" s="10" t="s">
        <v>21</v>
      </c>
      <c r="D3" s="29" t="s">
        <v>0</v>
      </c>
      <c r="E3" s="30" t="s">
        <v>4</v>
      </c>
      <c r="F3" s="31" t="s">
        <v>1</v>
      </c>
      <c r="G3" s="32" t="s">
        <v>2</v>
      </c>
      <c r="H3" s="33" t="s">
        <v>3</v>
      </c>
      <c r="J3" s="74" t="s">
        <v>253</v>
      </c>
      <c r="K3" s="74" t="s">
        <v>264</v>
      </c>
      <c r="L3" s="75" t="s">
        <v>254</v>
      </c>
      <c r="M3" s="75" t="s">
        <v>265</v>
      </c>
      <c r="O3" s="1" t="s">
        <v>255</v>
      </c>
      <c r="P3" s="1" t="s">
        <v>256</v>
      </c>
      <c r="Q3" s="1" t="s">
        <v>257</v>
      </c>
      <c r="R3" s="1" t="s">
        <v>258</v>
      </c>
      <c r="S3" s="1" t="s">
        <v>259</v>
      </c>
      <c r="T3" s="1" t="s">
        <v>260</v>
      </c>
      <c r="U3" s="1" t="s">
        <v>262</v>
      </c>
      <c r="V3" s="1" t="s">
        <v>263</v>
      </c>
      <c r="W3" s="1" t="s">
        <v>266</v>
      </c>
    </row>
    <row r="4" spans="1:23" x14ac:dyDescent="0.2">
      <c r="A4" s="20"/>
      <c r="B4" s="5" t="s">
        <v>6</v>
      </c>
      <c r="C4" s="11"/>
      <c r="D4" s="47"/>
      <c r="E4" s="47"/>
      <c r="F4" s="47"/>
      <c r="G4" s="47"/>
      <c r="H4" s="47"/>
      <c r="L4" s="71"/>
      <c r="M4" s="71"/>
      <c r="S4" s="1">
        <f>SUM(P4:R4)</f>
        <v>0</v>
      </c>
      <c r="U4" s="1">
        <f>+S4*(1+T4)</f>
        <v>0</v>
      </c>
    </row>
    <row r="5" spans="1:23" x14ac:dyDescent="0.2">
      <c r="A5" s="56" t="s">
        <v>7</v>
      </c>
      <c r="B5" s="6" t="s">
        <v>13</v>
      </c>
      <c r="C5" s="12" t="s">
        <v>14</v>
      </c>
      <c r="D5" s="34">
        <v>470</v>
      </c>
      <c r="E5" s="35">
        <v>336</v>
      </c>
      <c r="F5" s="23">
        <f>$E5*(1-F$1)</f>
        <v>325.92</v>
      </c>
      <c r="G5" s="24">
        <f t="shared" ref="G5:H20" si="0">$E5*(1-G$1)</f>
        <v>319.2</v>
      </c>
      <c r="H5" s="25">
        <f t="shared" si="0"/>
        <v>315.83999999999997</v>
      </c>
      <c r="J5" s="76">
        <v>470</v>
      </c>
      <c r="K5" s="76">
        <f>ROUND(+U5*(1+V5)*(1+W5)*(1+$P$1),0)</f>
        <v>470</v>
      </c>
      <c r="L5" s="76">
        <v>336</v>
      </c>
      <c r="M5" s="76">
        <f>ROUND(+U5*(1+V5)*(1+$P$1),0)</f>
        <v>336</v>
      </c>
      <c r="N5" s="88">
        <f>+J5-K5+L5-M5</f>
        <v>0</v>
      </c>
      <c r="P5" s="1">
        <v>145</v>
      </c>
      <c r="Q5" s="1">
        <v>56</v>
      </c>
      <c r="S5" s="1">
        <f t="shared" ref="S5:S68" si="1">SUM(P5:R5)</f>
        <v>201</v>
      </c>
      <c r="T5" s="1">
        <v>0</v>
      </c>
      <c r="U5" s="1">
        <f t="shared" ref="U5:U68" si="2">+S5*(1+T5)</f>
        <v>201</v>
      </c>
      <c r="V5" s="1">
        <v>0.622</v>
      </c>
      <c r="W5" s="1">
        <v>0.4</v>
      </c>
    </row>
    <row r="6" spans="1:23" x14ac:dyDescent="0.2">
      <c r="A6" s="57" t="s">
        <v>8</v>
      </c>
      <c r="B6" s="6" t="s">
        <v>15</v>
      </c>
      <c r="C6" s="12" t="s">
        <v>14</v>
      </c>
      <c r="D6" s="34">
        <v>463</v>
      </c>
      <c r="E6" s="35">
        <v>289</v>
      </c>
      <c r="F6" s="23">
        <f t="shared" ref="F6:H21" si="3">$E6*(1-F$1)</f>
        <v>280.33</v>
      </c>
      <c r="G6" s="24">
        <f t="shared" si="0"/>
        <v>274.55</v>
      </c>
      <c r="H6" s="25">
        <f t="shared" si="0"/>
        <v>271.65999999999997</v>
      </c>
      <c r="J6" s="76">
        <v>463</v>
      </c>
      <c r="K6" s="76">
        <f t="shared" ref="K6:K69" si="4">ROUND(+U6*(1+V6)*(1+W6)*(1+$P$1),0)</f>
        <v>463</v>
      </c>
      <c r="L6" s="76">
        <v>289</v>
      </c>
      <c r="M6" s="76">
        <f t="shared" ref="M6:M69" si="5">ROUND(+U6*(1+V6)*(1+$P$1),0)</f>
        <v>289</v>
      </c>
      <c r="N6" s="88">
        <f t="shared" ref="N6:N69" si="6">+J6-K6+L6-M6</f>
        <v>0</v>
      </c>
      <c r="O6" s="1" t="s">
        <v>269</v>
      </c>
      <c r="P6" s="1">
        <v>145</v>
      </c>
      <c r="Q6" s="1">
        <v>56</v>
      </c>
      <c r="S6" s="1">
        <f t="shared" si="1"/>
        <v>201</v>
      </c>
      <c r="T6" s="1">
        <v>0</v>
      </c>
      <c r="U6" s="1">
        <f t="shared" si="2"/>
        <v>201</v>
      </c>
      <c r="V6" s="1">
        <v>0.39800000000000002</v>
      </c>
      <c r="W6" s="1">
        <v>0.6</v>
      </c>
    </row>
    <row r="7" spans="1:23" x14ac:dyDescent="0.2">
      <c r="A7" s="57" t="s">
        <v>9</v>
      </c>
      <c r="B7" s="6" t="s">
        <v>16</v>
      </c>
      <c r="C7" s="12" t="s">
        <v>14</v>
      </c>
      <c r="D7" s="34">
        <v>625</v>
      </c>
      <c r="E7" s="35">
        <v>463</v>
      </c>
      <c r="F7" s="23">
        <f t="shared" si="3"/>
        <v>449.11</v>
      </c>
      <c r="G7" s="24">
        <f t="shared" si="0"/>
        <v>439.84999999999997</v>
      </c>
      <c r="H7" s="25">
        <f t="shared" si="0"/>
        <v>435.21999999999997</v>
      </c>
      <c r="J7" s="76">
        <v>625</v>
      </c>
      <c r="K7" s="76">
        <f t="shared" si="4"/>
        <v>625</v>
      </c>
      <c r="L7" s="76">
        <v>463</v>
      </c>
      <c r="M7" s="76">
        <f t="shared" si="5"/>
        <v>463</v>
      </c>
      <c r="N7" s="88">
        <f t="shared" si="6"/>
        <v>0</v>
      </c>
      <c r="O7" s="1" t="s">
        <v>268</v>
      </c>
      <c r="P7" s="1">
        <v>275</v>
      </c>
      <c r="Q7" s="1">
        <v>56</v>
      </c>
      <c r="S7" s="1">
        <f t="shared" si="1"/>
        <v>331</v>
      </c>
      <c r="T7" s="1">
        <v>0</v>
      </c>
      <c r="U7" s="1">
        <f t="shared" si="2"/>
        <v>331</v>
      </c>
      <c r="V7" s="1">
        <v>0.35799999999999998</v>
      </c>
      <c r="W7" s="1">
        <v>0.35</v>
      </c>
    </row>
    <row r="8" spans="1:23" x14ac:dyDescent="0.2">
      <c r="A8" s="57" t="s">
        <v>10</v>
      </c>
      <c r="B8" s="6" t="s">
        <v>17</v>
      </c>
      <c r="C8" s="12" t="s">
        <v>14</v>
      </c>
      <c r="D8" s="34">
        <v>450</v>
      </c>
      <c r="E8" s="35">
        <v>316</v>
      </c>
      <c r="F8" s="23">
        <f t="shared" si="3"/>
        <v>306.52</v>
      </c>
      <c r="G8" s="24">
        <f t="shared" si="0"/>
        <v>300.2</v>
      </c>
      <c r="H8" s="25">
        <f t="shared" si="0"/>
        <v>297.03999999999996</v>
      </c>
      <c r="J8" s="76">
        <v>450</v>
      </c>
      <c r="K8" s="76">
        <f t="shared" si="4"/>
        <v>450</v>
      </c>
      <c r="L8" s="76">
        <v>316</v>
      </c>
      <c r="M8" s="76">
        <f t="shared" si="5"/>
        <v>316</v>
      </c>
      <c r="N8" s="88">
        <f t="shared" si="6"/>
        <v>0</v>
      </c>
      <c r="P8" s="1">
        <v>145</v>
      </c>
      <c r="Q8" s="1">
        <v>56</v>
      </c>
      <c r="S8" s="1">
        <f t="shared" si="1"/>
        <v>201</v>
      </c>
      <c r="T8" s="1">
        <v>0</v>
      </c>
      <c r="U8" s="1">
        <f t="shared" si="2"/>
        <v>201</v>
      </c>
      <c r="V8" s="1">
        <v>0.52500000000000002</v>
      </c>
      <c r="W8" s="1">
        <v>0.42499999999999999</v>
      </c>
    </row>
    <row r="9" spans="1:23" x14ac:dyDescent="0.2">
      <c r="A9" s="57" t="s">
        <v>11</v>
      </c>
      <c r="B9" s="6" t="s">
        <v>18</v>
      </c>
      <c r="C9" s="12" t="s">
        <v>14</v>
      </c>
      <c r="D9" s="34">
        <v>405</v>
      </c>
      <c r="E9" s="35">
        <v>253</v>
      </c>
      <c r="F9" s="23">
        <f t="shared" si="3"/>
        <v>245.41</v>
      </c>
      <c r="G9" s="24">
        <f t="shared" si="0"/>
        <v>240.35</v>
      </c>
      <c r="H9" s="25">
        <f t="shared" si="0"/>
        <v>237.82</v>
      </c>
      <c r="J9" s="76">
        <v>405</v>
      </c>
      <c r="K9" s="76">
        <f t="shared" si="4"/>
        <v>405</v>
      </c>
      <c r="L9" s="76">
        <v>253</v>
      </c>
      <c r="M9" s="76">
        <f t="shared" si="5"/>
        <v>253</v>
      </c>
      <c r="N9" s="88">
        <f t="shared" si="6"/>
        <v>0</v>
      </c>
      <c r="P9" s="1">
        <v>120</v>
      </c>
      <c r="Q9" s="1">
        <v>56</v>
      </c>
      <c r="S9" s="1">
        <f t="shared" si="1"/>
        <v>176</v>
      </c>
      <c r="T9" s="1">
        <v>0</v>
      </c>
      <c r="U9" s="1">
        <f t="shared" si="2"/>
        <v>176</v>
      </c>
      <c r="V9" s="1">
        <v>0.39800000000000002</v>
      </c>
      <c r="W9" s="1">
        <v>0.6</v>
      </c>
    </row>
    <row r="10" spans="1:23" x14ac:dyDescent="0.2">
      <c r="A10" s="58" t="s">
        <v>12</v>
      </c>
      <c r="B10" s="7" t="s">
        <v>19</v>
      </c>
      <c r="C10" s="13" t="s">
        <v>14</v>
      </c>
      <c r="D10" s="36">
        <v>605</v>
      </c>
      <c r="E10" s="37">
        <v>380</v>
      </c>
      <c r="F10" s="23">
        <f t="shared" si="3"/>
        <v>368.59999999999997</v>
      </c>
      <c r="G10" s="24">
        <f t="shared" si="0"/>
        <v>361</v>
      </c>
      <c r="H10" s="25">
        <f t="shared" si="0"/>
        <v>357.2</v>
      </c>
      <c r="J10" s="77">
        <v>605</v>
      </c>
      <c r="K10" s="76">
        <f t="shared" si="4"/>
        <v>605</v>
      </c>
      <c r="L10" s="77">
        <v>380</v>
      </c>
      <c r="M10" s="76">
        <f t="shared" si="5"/>
        <v>380</v>
      </c>
      <c r="N10" s="88">
        <f t="shared" si="6"/>
        <v>0</v>
      </c>
      <c r="O10" s="1" t="s">
        <v>270</v>
      </c>
      <c r="P10" s="1">
        <v>130</v>
      </c>
      <c r="Q10" s="1">
        <v>60</v>
      </c>
      <c r="S10" s="1">
        <f t="shared" si="1"/>
        <v>190</v>
      </c>
      <c r="T10" s="1">
        <v>0</v>
      </c>
      <c r="U10" s="1">
        <f t="shared" si="2"/>
        <v>190</v>
      </c>
      <c r="V10" s="1">
        <v>0.94</v>
      </c>
      <c r="W10" s="1">
        <v>0.59299999999999997</v>
      </c>
    </row>
    <row r="11" spans="1:23" x14ac:dyDescent="0.2">
      <c r="A11" s="20"/>
      <c r="B11" s="2" t="s">
        <v>20</v>
      </c>
      <c r="C11" s="14"/>
      <c r="D11" s="48"/>
      <c r="E11" s="48"/>
      <c r="F11" s="48"/>
      <c r="G11" s="48"/>
      <c r="H11" s="48"/>
      <c r="J11" s="78"/>
      <c r="K11" s="76">
        <f t="shared" si="4"/>
        <v>0</v>
      </c>
      <c r="L11" s="78"/>
      <c r="M11" s="76">
        <f t="shared" si="5"/>
        <v>0</v>
      </c>
      <c r="N11" s="88">
        <f t="shared" si="6"/>
        <v>0</v>
      </c>
      <c r="S11" s="1">
        <f t="shared" si="1"/>
        <v>0</v>
      </c>
      <c r="U11" s="1">
        <f t="shared" si="2"/>
        <v>0</v>
      </c>
    </row>
    <row r="12" spans="1:23" x14ac:dyDescent="0.2">
      <c r="A12" s="59">
        <v>4</v>
      </c>
      <c r="B12" s="6" t="s">
        <v>22</v>
      </c>
      <c r="C12" s="12" t="s">
        <v>14</v>
      </c>
      <c r="D12" s="34">
        <v>686</v>
      </c>
      <c r="E12" s="35">
        <v>464</v>
      </c>
      <c r="F12" s="23">
        <f t="shared" si="3"/>
        <v>450.08</v>
      </c>
      <c r="G12" s="24">
        <f t="shared" si="0"/>
        <v>440.79999999999995</v>
      </c>
      <c r="H12" s="25">
        <f t="shared" si="0"/>
        <v>436.15999999999997</v>
      </c>
      <c r="J12" s="76">
        <v>686</v>
      </c>
      <c r="K12" s="76">
        <f t="shared" si="4"/>
        <v>686</v>
      </c>
      <c r="L12" s="76">
        <v>464</v>
      </c>
      <c r="M12" s="76">
        <f t="shared" si="5"/>
        <v>464</v>
      </c>
      <c r="N12" s="88">
        <f t="shared" si="6"/>
        <v>0</v>
      </c>
      <c r="O12" s="1" t="s">
        <v>277</v>
      </c>
      <c r="P12" s="1">
        <v>275</v>
      </c>
      <c r="Q12" s="1">
        <v>56</v>
      </c>
      <c r="S12" s="1">
        <f t="shared" si="1"/>
        <v>331</v>
      </c>
      <c r="T12" s="1">
        <v>0.05</v>
      </c>
      <c r="U12" s="1">
        <f t="shared" si="2"/>
        <v>347.55</v>
      </c>
      <c r="V12" s="1">
        <v>0.29499999999999998</v>
      </c>
      <c r="W12" s="1">
        <v>0.48</v>
      </c>
    </row>
    <row r="13" spans="1:23" x14ac:dyDescent="0.2">
      <c r="A13" s="59">
        <v>5</v>
      </c>
      <c r="B13" s="6" t="s">
        <v>23</v>
      </c>
      <c r="C13" s="12" t="s">
        <v>14</v>
      </c>
      <c r="D13" s="34">
        <v>468</v>
      </c>
      <c r="E13" s="35">
        <v>361</v>
      </c>
      <c r="F13" s="23">
        <f t="shared" si="3"/>
        <v>350.17</v>
      </c>
      <c r="G13" s="24">
        <f t="shared" si="0"/>
        <v>342.95</v>
      </c>
      <c r="H13" s="25">
        <f t="shared" si="0"/>
        <v>339.34</v>
      </c>
      <c r="J13" s="76">
        <v>468</v>
      </c>
      <c r="K13" s="76">
        <f t="shared" si="4"/>
        <v>467</v>
      </c>
      <c r="L13" s="76">
        <v>361</v>
      </c>
      <c r="M13" s="76">
        <f t="shared" si="5"/>
        <v>361</v>
      </c>
      <c r="N13" s="88">
        <f t="shared" si="6"/>
        <v>1</v>
      </c>
      <c r="O13" s="1" t="s">
        <v>292</v>
      </c>
      <c r="P13" s="1">
        <v>160</v>
      </c>
      <c r="Q13" s="1">
        <v>41.66</v>
      </c>
      <c r="S13" s="1">
        <f t="shared" si="1"/>
        <v>201.66</v>
      </c>
      <c r="T13" s="1">
        <v>0.05</v>
      </c>
      <c r="U13" s="1">
        <f t="shared" si="2"/>
        <v>211.74299999999999</v>
      </c>
      <c r="V13" s="1">
        <v>0.65500000000000003</v>
      </c>
      <c r="W13" s="1">
        <v>0.29499999999999998</v>
      </c>
    </row>
    <row r="14" spans="1:23" x14ac:dyDescent="0.2">
      <c r="A14" s="59">
        <v>6</v>
      </c>
      <c r="B14" s="6" t="s">
        <v>25</v>
      </c>
      <c r="C14" s="12" t="s">
        <v>14</v>
      </c>
      <c r="D14" s="34">
        <v>655</v>
      </c>
      <c r="E14" s="35">
        <v>442</v>
      </c>
      <c r="F14" s="23">
        <f t="shared" si="3"/>
        <v>428.74</v>
      </c>
      <c r="G14" s="24">
        <f t="shared" si="0"/>
        <v>419.9</v>
      </c>
      <c r="H14" s="25">
        <f t="shared" si="0"/>
        <v>415.47999999999996</v>
      </c>
      <c r="J14" s="76">
        <v>655</v>
      </c>
      <c r="K14" s="76">
        <f t="shared" si="4"/>
        <v>655</v>
      </c>
      <c r="L14" s="76">
        <v>442</v>
      </c>
      <c r="M14" s="76">
        <f t="shared" si="5"/>
        <v>442</v>
      </c>
      <c r="N14" s="88">
        <f t="shared" si="6"/>
        <v>0</v>
      </c>
      <c r="O14" s="1" t="s">
        <v>291</v>
      </c>
      <c r="P14" s="1">
        <v>270</v>
      </c>
      <c r="Q14" s="1">
        <v>22.5</v>
      </c>
      <c r="S14" s="1">
        <f t="shared" si="1"/>
        <v>292.5</v>
      </c>
      <c r="T14" s="1">
        <v>0.05</v>
      </c>
      <c r="U14" s="1">
        <f t="shared" si="2"/>
        <v>307.125</v>
      </c>
      <c r="V14" s="1">
        <v>0.39800000000000002</v>
      </c>
      <c r="W14" s="1">
        <v>0.48</v>
      </c>
    </row>
    <row r="15" spans="1:23" x14ac:dyDescent="0.2">
      <c r="A15" s="59">
        <v>7</v>
      </c>
      <c r="B15" s="6" t="s">
        <v>24</v>
      </c>
      <c r="C15" s="12" t="s">
        <v>14</v>
      </c>
      <c r="D15" s="34">
        <v>655</v>
      </c>
      <c r="E15" s="35">
        <v>442</v>
      </c>
      <c r="F15" s="23">
        <f t="shared" si="3"/>
        <v>428.74</v>
      </c>
      <c r="G15" s="24">
        <f t="shared" si="0"/>
        <v>419.9</v>
      </c>
      <c r="H15" s="25">
        <f t="shared" si="0"/>
        <v>415.47999999999996</v>
      </c>
      <c r="J15" s="76">
        <v>655</v>
      </c>
      <c r="K15" s="76">
        <f t="shared" si="4"/>
        <v>655</v>
      </c>
      <c r="L15" s="76">
        <v>442</v>
      </c>
      <c r="M15" s="76">
        <f t="shared" si="5"/>
        <v>442</v>
      </c>
      <c r="N15" s="88">
        <f t="shared" si="6"/>
        <v>0</v>
      </c>
      <c r="O15" s="1" t="s">
        <v>291</v>
      </c>
      <c r="P15" s="1">
        <v>270</v>
      </c>
      <c r="Q15" s="1">
        <v>22.5</v>
      </c>
      <c r="S15" s="1">
        <f t="shared" si="1"/>
        <v>292.5</v>
      </c>
      <c r="T15" s="1">
        <v>0.05</v>
      </c>
      <c r="U15" s="1">
        <f t="shared" si="2"/>
        <v>307.125</v>
      </c>
      <c r="V15" s="1">
        <v>0.39800000000000002</v>
      </c>
      <c r="W15" s="1">
        <v>0.48</v>
      </c>
    </row>
    <row r="16" spans="1:23" x14ac:dyDescent="0.2">
      <c r="A16" s="59">
        <v>8</v>
      </c>
      <c r="B16" s="6" t="s">
        <v>26</v>
      </c>
      <c r="C16" s="12" t="s">
        <v>14</v>
      </c>
      <c r="D16" s="34">
        <v>479</v>
      </c>
      <c r="E16" s="35">
        <v>369</v>
      </c>
      <c r="F16" s="23">
        <f t="shared" si="3"/>
        <v>357.93</v>
      </c>
      <c r="G16" s="24">
        <f t="shared" si="0"/>
        <v>350.55</v>
      </c>
      <c r="H16" s="25">
        <f t="shared" si="0"/>
        <v>346.85999999999996</v>
      </c>
      <c r="J16" s="76">
        <v>479</v>
      </c>
      <c r="K16" s="76">
        <f t="shared" si="4"/>
        <v>479</v>
      </c>
      <c r="L16" s="76">
        <v>369</v>
      </c>
      <c r="M16" s="76">
        <f t="shared" si="5"/>
        <v>369</v>
      </c>
      <c r="N16" s="88">
        <f t="shared" si="6"/>
        <v>0</v>
      </c>
      <c r="O16" s="1" t="s">
        <v>293</v>
      </c>
      <c r="P16" s="1">
        <v>160</v>
      </c>
      <c r="Q16" s="1">
        <v>41.66</v>
      </c>
      <c r="S16" s="1">
        <f t="shared" si="1"/>
        <v>201.66</v>
      </c>
      <c r="T16" s="1">
        <v>0.05</v>
      </c>
      <c r="U16" s="1">
        <f t="shared" si="2"/>
        <v>211.74299999999999</v>
      </c>
      <c r="V16" s="1">
        <v>0.69</v>
      </c>
      <c r="W16" s="1">
        <v>0.3</v>
      </c>
    </row>
    <row r="17" spans="1:23" x14ac:dyDescent="0.2">
      <c r="A17" s="60">
        <v>9</v>
      </c>
      <c r="B17" s="7" t="s">
        <v>27</v>
      </c>
      <c r="C17" s="13" t="s">
        <v>14</v>
      </c>
      <c r="D17" s="36">
        <v>462</v>
      </c>
      <c r="E17" s="37">
        <v>356</v>
      </c>
      <c r="F17" s="23">
        <f t="shared" si="3"/>
        <v>345.32</v>
      </c>
      <c r="G17" s="24">
        <f t="shared" si="0"/>
        <v>338.2</v>
      </c>
      <c r="H17" s="25">
        <f t="shared" si="0"/>
        <v>334.64</v>
      </c>
      <c r="J17" s="77">
        <v>462</v>
      </c>
      <c r="K17" s="76">
        <f t="shared" si="4"/>
        <v>462</v>
      </c>
      <c r="L17" s="77">
        <v>356</v>
      </c>
      <c r="M17" s="76">
        <f t="shared" si="5"/>
        <v>355</v>
      </c>
      <c r="N17" s="88">
        <f t="shared" si="6"/>
        <v>1</v>
      </c>
      <c r="O17" s="1" t="s">
        <v>293</v>
      </c>
      <c r="P17" s="1">
        <v>160</v>
      </c>
      <c r="Q17" s="1">
        <v>41.66</v>
      </c>
      <c r="S17" s="1">
        <f t="shared" si="1"/>
        <v>201.66</v>
      </c>
      <c r="T17" s="1">
        <v>0.05</v>
      </c>
      <c r="U17" s="1">
        <f t="shared" si="2"/>
        <v>211.74299999999999</v>
      </c>
      <c r="V17" s="1">
        <v>0.63</v>
      </c>
      <c r="W17" s="1">
        <v>0.3</v>
      </c>
    </row>
    <row r="18" spans="1:23" x14ac:dyDescent="0.2">
      <c r="A18" s="20"/>
      <c r="B18" s="2" t="s">
        <v>28</v>
      </c>
      <c r="C18" s="14"/>
      <c r="D18" s="48"/>
      <c r="E18" s="48"/>
      <c r="F18" s="48"/>
      <c r="G18" s="48"/>
      <c r="H18" s="48"/>
      <c r="J18" s="78"/>
      <c r="K18" s="76">
        <f t="shared" si="4"/>
        <v>0</v>
      </c>
      <c r="L18" s="78"/>
      <c r="M18" s="76">
        <f t="shared" si="5"/>
        <v>0</v>
      </c>
      <c r="N18" s="88">
        <f t="shared" si="6"/>
        <v>0</v>
      </c>
      <c r="S18" s="1">
        <f t="shared" si="1"/>
        <v>0</v>
      </c>
      <c r="U18" s="1">
        <f t="shared" si="2"/>
        <v>0</v>
      </c>
    </row>
    <row r="19" spans="1:23" x14ac:dyDescent="0.2">
      <c r="A19" s="61">
        <v>10</v>
      </c>
      <c r="B19" s="8" t="s">
        <v>29</v>
      </c>
      <c r="C19" s="15" t="s">
        <v>14</v>
      </c>
      <c r="D19" s="21">
        <v>980</v>
      </c>
      <c r="E19" s="22">
        <v>701</v>
      </c>
      <c r="F19" s="23">
        <f t="shared" si="3"/>
        <v>679.97</v>
      </c>
      <c r="G19" s="24">
        <f t="shared" si="0"/>
        <v>665.94999999999993</v>
      </c>
      <c r="H19" s="25">
        <f t="shared" si="0"/>
        <v>658.93999999999994</v>
      </c>
      <c r="J19" s="79">
        <v>980</v>
      </c>
      <c r="K19" s="76">
        <f t="shared" si="4"/>
        <v>980</v>
      </c>
      <c r="L19" s="79">
        <v>701</v>
      </c>
      <c r="M19" s="76">
        <f t="shared" si="5"/>
        <v>701</v>
      </c>
      <c r="N19" s="88">
        <f t="shared" si="6"/>
        <v>0</v>
      </c>
      <c r="O19" s="1" t="s">
        <v>309</v>
      </c>
      <c r="P19" s="1">
        <v>375</v>
      </c>
      <c r="Q19" s="1">
        <v>60</v>
      </c>
      <c r="S19" s="1">
        <f t="shared" si="1"/>
        <v>435</v>
      </c>
      <c r="T19" s="1">
        <v>0.05</v>
      </c>
      <c r="U19" s="1">
        <f t="shared" si="2"/>
        <v>456.75</v>
      </c>
      <c r="V19" s="1">
        <v>0.49</v>
      </c>
      <c r="W19" s="1">
        <v>0.39800000000000002</v>
      </c>
    </row>
    <row r="20" spans="1:23" x14ac:dyDescent="0.2">
      <c r="A20" s="59">
        <v>11</v>
      </c>
      <c r="B20" s="6" t="s">
        <v>30</v>
      </c>
      <c r="C20" s="12" t="s">
        <v>14</v>
      </c>
      <c r="D20" s="34">
        <v>799</v>
      </c>
      <c r="E20" s="35">
        <v>572</v>
      </c>
      <c r="F20" s="23">
        <f t="shared" si="3"/>
        <v>554.84</v>
      </c>
      <c r="G20" s="24">
        <f t="shared" si="0"/>
        <v>543.4</v>
      </c>
      <c r="H20" s="25">
        <f t="shared" si="0"/>
        <v>537.67999999999995</v>
      </c>
      <c r="J20" s="76">
        <v>799</v>
      </c>
      <c r="K20" s="76">
        <f t="shared" si="4"/>
        <v>799</v>
      </c>
      <c r="L20" s="76">
        <v>572</v>
      </c>
      <c r="M20" s="76">
        <f t="shared" si="5"/>
        <v>572</v>
      </c>
      <c r="N20" s="88">
        <f t="shared" si="6"/>
        <v>0</v>
      </c>
      <c r="O20" s="1" t="s">
        <v>309</v>
      </c>
      <c r="P20" s="1">
        <v>250</v>
      </c>
      <c r="Q20" s="1">
        <v>60</v>
      </c>
      <c r="S20" s="1">
        <f t="shared" si="1"/>
        <v>310</v>
      </c>
      <c r="T20" s="1">
        <v>0.05</v>
      </c>
      <c r="U20" s="1">
        <f t="shared" si="2"/>
        <v>325.5</v>
      </c>
      <c r="V20" s="1">
        <v>0.70499999999999996</v>
      </c>
      <c r="W20" s="1">
        <v>0.39700000000000002</v>
      </c>
    </row>
    <row r="21" spans="1:23" x14ac:dyDescent="0.2">
      <c r="A21" s="59">
        <v>12</v>
      </c>
      <c r="B21" s="6" t="s">
        <v>31</v>
      </c>
      <c r="C21" s="12" t="s">
        <v>14</v>
      </c>
      <c r="D21" s="34">
        <v>702</v>
      </c>
      <c r="E21" s="35">
        <v>503</v>
      </c>
      <c r="F21" s="23">
        <f t="shared" si="3"/>
        <v>487.90999999999997</v>
      </c>
      <c r="G21" s="24">
        <f t="shared" si="3"/>
        <v>477.84999999999997</v>
      </c>
      <c r="H21" s="25">
        <f t="shared" si="3"/>
        <v>472.82</v>
      </c>
      <c r="J21" s="76">
        <v>702</v>
      </c>
      <c r="K21" s="76">
        <f t="shared" si="4"/>
        <v>702</v>
      </c>
      <c r="L21" s="76">
        <v>503</v>
      </c>
      <c r="M21" s="76">
        <f t="shared" si="5"/>
        <v>502</v>
      </c>
      <c r="N21" s="88">
        <f t="shared" si="6"/>
        <v>1</v>
      </c>
      <c r="O21" s="1" t="s">
        <v>309</v>
      </c>
      <c r="P21" s="1">
        <v>235</v>
      </c>
      <c r="Q21" s="1">
        <v>60</v>
      </c>
      <c r="S21" s="1">
        <f t="shared" si="1"/>
        <v>295</v>
      </c>
      <c r="T21" s="1">
        <v>0.05</v>
      </c>
      <c r="U21" s="1">
        <f t="shared" si="2"/>
        <v>309.75</v>
      </c>
      <c r="V21" s="1">
        <v>0.57499999999999996</v>
      </c>
      <c r="W21" s="1">
        <v>0.39700000000000002</v>
      </c>
    </row>
    <row r="22" spans="1:23" x14ac:dyDescent="0.2">
      <c r="A22" s="59">
        <v>13</v>
      </c>
      <c r="B22" s="6" t="s">
        <v>32</v>
      </c>
      <c r="C22" s="12" t="s">
        <v>14</v>
      </c>
      <c r="D22" s="34">
        <v>357</v>
      </c>
      <c r="E22" s="35">
        <v>256</v>
      </c>
      <c r="F22" s="23">
        <f t="shared" ref="F22:H38" si="7">$E22*(1-F$1)</f>
        <v>248.32</v>
      </c>
      <c r="G22" s="24">
        <f t="shared" si="7"/>
        <v>243.2</v>
      </c>
      <c r="H22" s="25">
        <f t="shared" si="7"/>
        <v>240.64</v>
      </c>
      <c r="J22" s="76">
        <v>357</v>
      </c>
      <c r="K22" s="76">
        <f t="shared" si="4"/>
        <v>357</v>
      </c>
      <c r="L22" s="76">
        <v>256</v>
      </c>
      <c r="M22" s="76">
        <f t="shared" si="5"/>
        <v>256</v>
      </c>
      <c r="N22" s="88">
        <f t="shared" si="6"/>
        <v>0</v>
      </c>
      <c r="O22" s="1" t="s">
        <v>310</v>
      </c>
      <c r="P22" s="1">
        <v>95</v>
      </c>
      <c r="Q22" s="1">
        <v>41.66</v>
      </c>
      <c r="S22" s="1">
        <f t="shared" si="1"/>
        <v>136.66</v>
      </c>
      <c r="T22" s="1">
        <v>0.05</v>
      </c>
      <c r="U22" s="1">
        <f t="shared" si="2"/>
        <v>143.49299999999999</v>
      </c>
      <c r="V22" s="1">
        <v>0.73</v>
      </c>
      <c r="W22" s="1">
        <v>0.39700000000000002</v>
      </c>
    </row>
    <row r="23" spans="1:23" x14ac:dyDescent="0.2">
      <c r="A23" s="60">
        <v>14</v>
      </c>
      <c r="B23" s="7" t="s">
        <v>33</v>
      </c>
      <c r="C23" s="13" t="s">
        <v>14</v>
      </c>
      <c r="D23" s="36">
        <v>783</v>
      </c>
      <c r="E23" s="37">
        <v>559</v>
      </c>
      <c r="F23" s="23">
        <f t="shared" si="7"/>
        <v>542.23</v>
      </c>
      <c r="G23" s="24">
        <f t="shared" si="7"/>
        <v>531.04999999999995</v>
      </c>
      <c r="H23" s="25">
        <f t="shared" si="7"/>
        <v>525.45999999999992</v>
      </c>
      <c r="J23" s="77">
        <v>783</v>
      </c>
      <c r="K23" s="76">
        <f t="shared" si="4"/>
        <v>783</v>
      </c>
      <c r="L23" s="77">
        <v>559</v>
      </c>
      <c r="M23" s="76">
        <f t="shared" si="5"/>
        <v>559</v>
      </c>
      <c r="N23" s="88">
        <f t="shared" si="6"/>
        <v>0</v>
      </c>
      <c r="O23" s="1" t="s">
        <v>277</v>
      </c>
      <c r="P23" s="1">
        <v>150</v>
      </c>
      <c r="Q23" s="1">
        <v>56</v>
      </c>
      <c r="S23" s="1">
        <f t="shared" si="1"/>
        <v>206</v>
      </c>
      <c r="T23" s="1">
        <v>0.05</v>
      </c>
      <c r="U23" s="1">
        <f t="shared" si="2"/>
        <v>216.3</v>
      </c>
      <c r="V23" s="1">
        <v>1.51</v>
      </c>
      <c r="W23" s="1">
        <v>0.4</v>
      </c>
    </row>
    <row r="24" spans="1:23" x14ac:dyDescent="0.2">
      <c r="A24" s="60">
        <v>15</v>
      </c>
      <c r="B24" s="7" t="s">
        <v>206</v>
      </c>
      <c r="C24" s="13" t="s">
        <v>14</v>
      </c>
      <c r="D24" s="36">
        <v>640</v>
      </c>
      <c r="E24" s="37">
        <v>322</v>
      </c>
      <c r="F24" s="23">
        <f t="shared" si="7"/>
        <v>312.33999999999997</v>
      </c>
      <c r="G24" s="24">
        <f t="shared" si="7"/>
        <v>305.89999999999998</v>
      </c>
      <c r="H24" s="25">
        <f t="shared" si="7"/>
        <v>302.68</v>
      </c>
      <c r="J24" s="77">
        <v>640</v>
      </c>
      <c r="K24" s="76">
        <f t="shared" si="4"/>
        <v>640</v>
      </c>
      <c r="L24" s="77">
        <v>322</v>
      </c>
      <c r="M24" s="76">
        <f t="shared" si="5"/>
        <v>322</v>
      </c>
      <c r="N24" s="88">
        <f t="shared" si="6"/>
        <v>0</v>
      </c>
      <c r="O24" s="1" t="s">
        <v>267</v>
      </c>
      <c r="P24" s="1">
        <v>120</v>
      </c>
      <c r="Q24" s="1">
        <v>60</v>
      </c>
      <c r="S24" s="1">
        <f t="shared" si="1"/>
        <v>180</v>
      </c>
      <c r="T24" s="1">
        <v>0.05</v>
      </c>
      <c r="U24" s="1">
        <f t="shared" si="2"/>
        <v>189</v>
      </c>
      <c r="V24" s="1">
        <v>0.65200000000000002</v>
      </c>
      <c r="W24" s="1">
        <v>0.99</v>
      </c>
    </row>
    <row r="25" spans="1:23" x14ac:dyDescent="0.2">
      <c r="A25" s="20"/>
      <c r="B25" s="2" t="s">
        <v>34</v>
      </c>
      <c r="C25" s="14"/>
      <c r="D25" s="48"/>
      <c r="E25" s="48"/>
      <c r="F25" s="48"/>
      <c r="G25" s="48"/>
      <c r="H25" s="48"/>
      <c r="J25" s="78"/>
      <c r="K25" s="76">
        <f t="shared" si="4"/>
        <v>0</v>
      </c>
      <c r="L25" s="78"/>
      <c r="M25" s="76">
        <f t="shared" si="5"/>
        <v>0</v>
      </c>
      <c r="N25" s="88">
        <f t="shared" si="6"/>
        <v>0</v>
      </c>
      <c r="S25" s="1">
        <f t="shared" si="1"/>
        <v>0</v>
      </c>
      <c r="U25" s="1">
        <f t="shared" si="2"/>
        <v>0</v>
      </c>
    </row>
    <row r="26" spans="1:23" x14ac:dyDescent="0.2">
      <c r="A26" s="61">
        <v>16</v>
      </c>
      <c r="B26" s="8" t="s">
        <v>35</v>
      </c>
      <c r="C26" s="15" t="s">
        <v>14</v>
      </c>
      <c r="D26" s="21">
        <v>428</v>
      </c>
      <c r="E26" s="22">
        <v>318</v>
      </c>
      <c r="F26" s="23">
        <f t="shared" si="7"/>
        <v>308.45999999999998</v>
      </c>
      <c r="G26" s="24">
        <f t="shared" si="7"/>
        <v>302.09999999999997</v>
      </c>
      <c r="H26" s="25">
        <f t="shared" si="7"/>
        <v>298.91999999999996</v>
      </c>
      <c r="J26" s="79">
        <v>428</v>
      </c>
      <c r="K26" s="76">
        <f t="shared" si="4"/>
        <v>428</v>
      </c>
      <c r="L26" s="79">
        <v>318</v>
      </c>
      <c r="M26" s="76">
        <f t="shared" si="5"/>
        <v>318</v>
      </c>
      <c r="N26" s="88">
        <f t="shared" si="6"/>
        <v>0</v>
      </c>
      <c r="O26" s="1" t="s">
        <v>292</v>
      </c>
      <c r="P26" s="1">
        <v>145</v>
      </c>
      <c r="Q26" s="1">
        <v>41.66</v>
      </c>
      <c r="S26" s="1">
        <f t="shared" si="1"/>
        <v>186.66</v>
      </c>
      <c r="T26" s="1">
        <v>0.05</v>
      </c>
      <c r="U26" s="1">
        <f t="shared" si="2"/>
        <v>195.99299999999999</v>
      </c>
      <c r="V26" s="1">
        <v>0.57599999999999996</v>
      </c>
      <c r="W26" s="1">
        <v>0.34499999999999997</v>
      </c>
    </row>
    <row r="27" spans="1:23" x14ac:dyDescent="0.2">
      <c r="A27" s="59">
        <v>17</v>
      </c>
      <c r="B27" s="6" t="s">
        <v>36</v>
      </c>
      <c r="C27" s="12" t="s">
        <v>14</v>
      </c>
      <c r="D27" s="34">
        <v>557</v>
      </c>
      <c r="E27" s="35">
        <v>412</v>
      </c>
      <c r="F27" s="23">
        <f t="shared" si="7"/>
        <v>399.64</v>
      </c>
      <c r="G27" s="24">
        <f t="shared" si="7"/>
        <v>391.4</v>
      </c>
      <c r="H27" s="25">
        <f t="shared" si="7"/>
        <v>387.28</v>
      </c>
      <c r="J27" s="76">
        <v>557</v>
      </c>
      <c r="K27" s="76">
        <f t="shared" si="4"/>
        <v>557</v>
      </c>
      <c r="L27" s="76">
        <v>412</v>
      </c>
      <c r="M27" s="76">
        <f t="shared" si="5"/>
        <v>412</v>
      </c>
      <c r="N27" s="88">
        <f t="shared" si="6"/>
        <v>0</v>
      </c>
      <c r="O27" s="1" t="s">
        <v>308</v>
      </c>
      <c r="P27" s="1">
        <v>235</v>
      </c>
      <c r="Q27" s="1">
        <v>56</v>
      </c>
      <c r="S27" s="1">
        <f t="shared" si="1"/>
        <v>291</v>
      </c>
      <c r="T27" s="1">
        <v>0.05</v>
      </c>
      <c r="U27" s="1">
        <f t="shared" si="2"/>
        <v>305.55</v>
      </c>
      <c r="V27" s="1">
        <v>0.31</v>
      </c>
      <c r="W27" s="1">
        <v>0.35</v>
      </c>
    </row>
    <row r="28" spans="1:23" x14ac:dyDescent="0.2">
      <c r="A28" s="59">
        <v>18</v>
      </c>
      <c r="B28" s="6" t="s">
        <v>37</v>
      </c>
      <c r="C28" s="12" t="s">
        <v>14</v>
      </c>
      <c r="D28" s="34">
        <v>370</v>
      </c>
      <c r="E28" s="35">
        <v>266</v>
      </c>
      <c r="F28" s="23">
        <f t="shared" si="7"/>
        <v>258.02</v>
      </c>
      <c r="G28" s="24">
        <f t="shared" si="7"/>
        <v>252.7</v>
      </c>
      <c r="H28" s="25">
        <f t="shared" si="7"/>
        <v>250.04</v>
      </c>
      <c r="J28" s="76">
        <v>370</v>
      </c>
      <c r="K28" s="76">
        <f t="shared" si="4"/>
        <v>370</v>
      </c>
      <c r="L28" s="76">
        <v>266</v>
      </c>
      <c r="M28" s="76">
        <f t="shared" si="5"/>
        <v>266</v>
      </c>
      <c r="N28" s="88">
        <f t="shared" si="6"/>
        <v>0</v>
      </c>
      <c r="O28" s="1" t="s">
        <v>306</v>
      </c>
      <c r="P28" s="1">
        <v>125</v>
      </c>
      <c r="Q28" s="1">
        <v>9</v>
      </c>
      <c r="S28" s="1">
        <f t="shared" si="1"/>
        <v>134</v>
      </c>
      <c r="T28" s="1">
        <v>0.05</v>
      </c>
      <c r="U28" s="1">
        <f t="shared" si="2"/>
        <v>140.70000000000002</v>
      </c>
      <c r="V28" s="1">
        <v>0.83499999999999996</v>
      </c>
      <c r="W28" s="1">
        <v>0.39200000000000002</v>
      </c>
    </row>
    <row r="29" spans="1:23" x14ac:dyDescent="0.2">
      <c r="A29" s="59">
        <v>19</v>
      </c>
      <c r="B29" s="6" t="s">
        <v>38</v>
      </c>
      <c r="C29" s="12" t="s">
        <v>14</v>
      </c>
      <c r="D29" s="34">
        <v>431</v>
      </c>
      <c r="E29" s="35">
        <v>308</v>
      </c>
      <c r="F29" s="23">
        <f t="shared" si="7"/>
        <v>298.76</v>
      </c>
      <c r="G29" s="24">
        <f t="shared" si="7"/>
        <v>292.59999999999997</v>
      </c>
      <c r="H29" s="25">
        <f t="shared" si="7"/>
        <v>289.52</v>
      </c>
      <c r="J29" s="76">
        <v>431</v>
      </c>
      <c r="K29" s="76">
        <f t="shared" si="4"/>
        <v>431</v>
      </c>
      <c r="L29" s="76">
        <v>308</v>
      </c>
      <c r="M29" s="76">
        <f t="shared" si="5"/>
        <v>308</v>
      </c>
      <c r="N29" s="88">
        <f t="shared" si="6"/>
        <v>0</v>
      </c>
      <c r="O29" s="1" t="s">
        <v>277</v>
      </c>
      <c r="P29" s="1">
        <v>135</v>
      </c>
      <c r="Q29" s="1">
        <v>56</v>
      </c>
      <c r="S29" s="1">
        <f t="shared" si="1"/>
        <v>191</v>
      </c>
      <c r="T29" s="1">
        <v>0.05</v>
      </c>
      <c r="U29" s="1">
        <f t="shared" si="2"/>
        <v>200.55</v>
      </c>
      <c r="V29" s="1">
        <v>0.49099999999999999</v>
      </c>
      <c r="W29" s="1">
        <v>0.4</v>
      </c>
    </row>
    <row r="30" spans="1:23" x14ac:dyDescent="0.2">
      <c r="A30" s="16">
        <v>20</v>
      </c>
      <c r="B30" s="6" t="s">
        <v>39</v>
      </c>
      <c r="C30" s="12" t="s">
        <v>14</v>
      </c>
      <c r="D30" s="34">
        <v>454</v>
      </c>
      <c r="E30" s="35">
        <v>337</v>
      </c>
      <c r="F30" s="23">
        <f t="shared" si="7"/>
        <v>326.89</v>
      </c>
      <c r="G30" s="24">
        <f t="shared" si="7"/>
        <v>320.14999999999998</v>
      </c>
      <c r="H30" s="25">
        <f t="shared" si="7"/>
        <v>316.77999999999997</v>
      </c>
      <c r="J30" s="76">
        <v>454</v>
      </c>
      <c r="K30" s="76">
        <f t="shared" si="4"/>
        <v>455</v>
      </c>
      <c r="L30" s="76">
        <v>337</v>
      </c>
      <c r="M30" s="76">
        <f t="shared" si="5"/>
        <v>337</v>
      </c>
      <c r="N30" s="88">
        <f t="shared" si="6"/>
        <v>-1</v>
      </c>
      <c r="O30" s="1" t="s">
        <v>292</v>
      </c>
      <c r="P30" s="1">
        <v>95</v>
      </c>
      <c r="Q30" s="1">
        <v>41.66</v>
      </c>
      <c r="S30" s="1">
        <f t="shared" si="1"/>
        <v>136.66</v>
      </c>
      <c r="T30" s="1">
        <v>0.05</v>
      </c>
      <c r="U30" s="1">
        <f t="shared" si="2"/>
        <v>143.49299999999999</v>
      </c>
      <c r="V30" s="1">
        <v>1.28</v>
      </c>
      <c r="W30" s="1">
        <v>0.34899999999999998</v>
      </c>
    </row>
    <row r="31" spans="1:23" x14ac:dyDescent="0.2">
      <c r="A31" s="59">
        <v>21</v>
      </c>
      <c r="B31" s="7" t="s">
        <v>48</v>
      </c>
      <c r="C31" s="13" t="s">
        <v>14</v>
      </c>
      <c r="D31" s="36">
        <v>402</v>
      </c>
      <c r="E31" s="37">
        <v>279</v>
      </c>
      <c r="F31" s="23">
        <f t="shared" si="7"/>
        <v>270.63</v>
      </c>
      <c r="G31" s="24">
        <f t="shared" si="7"/>
        <v>265.05</v>
      </c>
      <c r="H31" s="25">
        <f t="shared" si="7"/>
        <v>262.26</v>
      </c>
      <c r="J31" s="77">
        <v>402</v>
      </c>
      <c r="K31" s="76">
        <f t="shared" si="4"/>
        <v>402</v>
      </c>
      <c r="L31" s="77">
        <v>279</v>
      </c>
      <c r="M31" s="76">
        <f t="shared" si="5"/>
        <v>279</v>
      </c>
      <c r="N31" s="88">
        <f t="shared" si="6"/>
        <v>0</v>
      </c>
      <c r="O31" s="1" t="s">
        <v>306</v>
      </c>
      <c r="P31" s="1">
        <v>160</v>
      </c>
      <c r="Q31" s="1">
        <v>9</v>
      </c>
      <c r="S31" s="1">
        <f t="shared" si="1"/>
        <v>169</v>
      </c>
      <c r="T31" s="1">
        <v>0.05</v>
      </c>
      <c r="U31" s="1">
        <f t="shared" si="2"/>
        <v>177.45000000000002</v>
      </c>
      <c r="V31" s="1">
        <v>0.52500000000000002</v>
      </c>
      <c r="W31" s="1">
        <v>0.441</v>
      </c>
    </row>
    <row r="32" spans="1:23" x14ac:dyDescent="0.2">
      <c r="B32" s="6" t="s">
        <v>40</v>
      </c>
      <c r="C32" s="12" t="s">
        <v>14</v>
      </c>
      <c r="D32" s="34">
        <v>324</v>
      </c>
      <c r="E32" s="35">
        <v>204</v>
      </c>
      <c r="F32" s="23">
        <f t="shared" si="7"/>
        <v>197.88</v>
      </c>
      <c r="G32" s="24">
        <f t="shared" si="7"/>
        <v>193.79999999999998</v>
      </c>
      <c r="H32" s="25">
        <f t="shared" si="7"/>
        <v>191.76</v>
      </c>
      <c r="J32" s="76">
        <v>324</v>
      </c>
      <c r="K32" s="76">
        <f t="shared" si="4"/>
        <v>324</v>
      </c>
      <c r="L32" s="76">
        <v>204</v>
      </c>
      <c r="M32" s="76">
        <f t="shared" si="5"/>
        <v>204</v>
      </c>
      <c r="N32" s="88">
        <f t="shared" si="6"/>
        <v>0</v>
      </c>
      <c r="O32" s="1" t="s">
        <v>306</v>
      </c>
      <c r="P32" s="1">
        <v>115</v>
      </c>
      <c r="Q32" s="1">
        <v>9</v>
      </c>
      <c r="S32" s="1">
        <f t="shared" si="1"/>
        <v>124</v>
      </c>
      <c r="T32" s="1">
        <v>0.05</v>
      </c>
      <c r="U32" s="1">
        <f t="shared" si="2"/>
        <v>130.20000000000002</v>
      </c>
      <c r="V32" s="1">
        <v>0.52400000000000002</v>
      </c>
      <c r="W32" s="1">
        <v>0.58499999999999996</v>
      </c>
    </row>
    <row r="33" spans="1:23" x14ac:dyDescent="0.2">
      <c r="B33" s="6" t="s">
        <v>41</v>
      </c>
      <c r="C33" s="12" t="s">
        <v>14</v>
      </c>
      <c r="D33" s="34">
        <v>309</v>
      </c>
      <c r="E33" s="35">
        <v>214</v>
      </c>
      <c r="F33" s="23">
        <f t="shared" si="7"/>
        <v>207.57999999999998</v>
      </c>
      <c r="G33" s="24">
        <f t="shared" si="7"/>
        <v>203.29999999999998</v>
      </c>
      <c r="H33" s="25">
        <f t="shared" si="7"/>
        <v>201.16</v>
      </c>
      <c r="J33" s="76">
        <v>309</v>
      </c>
      <c r="K33" s="76">
        <f t="shared" si="4"/>
        <v>309</v>
      </c>
      <c r="L33" s="76">
        <v>214</v>
      </c>
      <c r="M33" s="76">
        <f t="shared" si="5"/>
        <v>214</v>
      </c>
      <c r="N33" s="88">
        <f t="shared" si="6"/>
        <v>0</v>
      </c>
      <c r="O33" s="1" t="s">
        <v>307</v>
      </c>
      <c r="P33" s="1">
        <v>130</v>
      </c>
      <c r="Q33" s="1">
        <v>18</v>
      </c>
      <c r="S33" s="1">
        <f t="shared" si="1"/>
        <v>148</v>
      </c>
      <c r="T33" s="1">
        <v>0.05</v>
      </c>
      <c r="U33" s="1">
        <f t="shared" si="2"/>
        <v>155.4</v>
      </c>
      <c r="V33" s="1">
        <v>0.33500000000000002</v>
      </c>
      <c r="W33" s="1">
        <v>0.44500000000000001</v>
      </c>
    </row>
    <row r="34" spans="1:23" x14ac:dyDescent="0.2">
      <c r="A34" s="60"/>
      <c r="B34" s="7" t="s">
        <v>42</v>
      </c>
      <c r="C34" s="13" t="s">
        <v>14</v>
      </c>
      <c r="D34" s="36">
        <v>225</v>
      </c>
      <c r="E34" s="37">
        <v>155</v>
      </c>
      <c r="F34" s="23">
        <f t="shared" si="7"/>
        <v>150.35</v>
      </c>
      <c r="G34" s="24">
        <f t="shared" si="7"/>
        <v>147.25</v>
      </c>
      <c r="H34" s="25">
        <f t="shared" si="7"/>
        <v>145.69999999999999</v>
      </c>
      <c r="J34" s="77">
        <v>225</v>
      </c>
      <c r="K34" s="76">
        <f t="shared" si="4"/>
        <v>225</v>
      </c>
      <c r="L34" s="77">
        <v>155</v>
      </c>
      <c r="M34" s="76">
        <f t="shared" si="5"/>
        <v>155</v>
      </c>
      <c r="N34" s="88">
        <f t="shared" si="6"/>
        <v>0</v>
      </c>
      <c r="O34" s="1" t="s">
        <v>301</v>
      </c>
      <c r="P34" s="1">
        <v>95</v>
      </c>
      <c r="Q34" s="1">
        <v>9</v>
      </c>
      <c r="S34" s="1">
        <f t="shared" si="1"/>
        <v>104</v>
      </c>
      <c r="T34" s="1">
        <v>0.05</v>
      </c>
      <c r="U34" s="1">
        <f t="shared" si="2"/>
        <v>109.2</v>
      </c>
      <c r="V34" s="1">
        <v>0.38</v>
      </c>
      <c r="W34" s="1">
        <v>0.45</v>
      </c>
    </row>
    <row r="35" spans="1:23" x14ac:dyDescent="0.2">
      <c r="A35" s="20"/>
      <c r="B35" s="2" t="s">
        <v>43</v>
      </c>
      <c r="C35" s="14"/>
      <c r="D35" s="48"/>
      <c r="E35" s="48"/>
      <c r="F35" s="48"/>
      <c r="G35" s="48"/>
      <c r="H35" s="48"/>
      <c r="J35" s="78"/>
      <c r="K35" s="76">
        <f t="shared" si="4"/>
        <v>0</v>
      </c>
      <c r="L35" s="78"/>
      <c r="M35" s="76">
        <f t="shared" si="5"/>
        <v>0</v>
      </c>
      <c r="N35" s="88">
        <f t="shared" si="6"/>
        <v>0</v>
      </c>
      <c r="S35" s="1">
        <f t="shared" si="1"/>
        <v>0</v>
      </c>
      <c r="U35" s="1">
        <f t="shared" si="2"/>
        <v>0</v>
      </c>
    </row>
    <row r="36" spans="1:23" x14ac:dyDescent="0.2">
      <c r="A36" s="61">
        <v>22</v>
      </c>
      <c r="B36" s="8" t="s">
        <v>44</v>
      </c>
      <c r="C36" s="15" t="s">
        <v>14</v>
      </c>
      <c r="D36" s="21">
        <v>569</v>
      </c>
      <c r="E36" s="22">
        <v>379</v>
      </c>
      <c r="F36" s="23">
        <f t="shared" si="7"/>
        <v>367.63</v>
      </c>
      <c r="G36" s="24">
        <f t="shared" si="7"/>
        <v>360.05</v>
      </c>
      <c r="H36" s="25">
        <f t="shared" si="7"/>
        <v>356.26</v>
      </c>
      <c r="J36" s="79">
        <v>569</v>
      </c>
      <c r="K36" s="76">
        <f t="shared" si="4"/>
        <v>569</v>
      </c>
      <c r="L36" s="79">
        <v>379</v>
      </c>
      <c r="M36" s="76">
        <f t="shared" si="5"/>
        <v>380</v>
      </c>
      <c r="N36" s="88">
        <f t="shared" si="6"/>
        <v>-1</v>
      </c>
      <c r="O36" s="1" t="s">
        <v>291</v>
      </c>
      <c r="P36" s="1">
        <v>225</v>
      </c>
      <c r="Q36" s="1">
        <v>22.5</v>
      </c>
      <c r="S36" s="1">
        <f t="shared" si="1"/>
        <v>247.5</v>
      </c>
      <c r="T36" s="1">
        <v>0.05</v>
      </c>
      <c r="U36" s="1">
        <f t="shared" si="2"/>
        <v>259.875</v>
      </c>
      <c r="V36" s="1">
        <v>0.41799999999999998</v>
      </c>
      <c r="W36" s="1">
        <v>0.5</v>
      </c>
    </row>
    <row r="37" spans="1:23" x14ac:dyDescent="0.2">
      <c r="A37" s="59">
        <v>23</v>
      </c>
      <c r="B37" s="6" t="s">
        <v>45</v>
      </c>
      <c r="C37" s="12" t="s">
        <v>14</v>
      </c>
      <c r="D37" s="34">
        <v>548</v>
      </c>
      <c r="E37" s="35">
        <v>365</v>
      </c>
      <c r="F37" s="23">
        <f t="shared" si="7"/>
        <v>354.05</v>
      </c>
      <c r="G37" s="24">
        <f t="shared" si="7"/>
        <v>346.75</v>
      </c>
      <c r="H37" s="25">
        <f t="shared" si="7"/>
        <v>343.09999999999997</v>
      </c>
      <c r="J37" s="76">
        <v>548</v>
      </c>
      <c r="K37" s="76">
        <f t="shared" si="4"/>
        <v>548</v>
      </c>
      <c r="L37" s="76">
        <v>365</v>
      </c>
      <c r="M37" s="76">
        <f t="shared" si="5"/>
        <v>365</v>
      </c>
      <c r="N37" s="88">
        <f t="shared" si="6"/>
        <v>0</v>
      </c>
      <c r="O37" s="1" t="s">
        <v>291</v>
      </c>
      <c r="P37" s="1">
        <v>215</v>
      </c>
      <c r="Q37" s="1">
        <v>22.5</v>
      </c>
      <c r="S37" s="1">
        <f t="shared" si="1"/>
        <v>237.5</v>
      </c>
      <c r="T37" s="1">
        <v>0.05</v>
      </c>
      <c r="U37" s="1">
        <f t="shared" si="2"/>
        <v>249.375</v>
      </c>
      <c r="V37" s="1">
        <v>0.42199999999999999</v>
      </c>
      <c r="W37" s="1">
        <v>0.5</v>
      </c>
    </row>
    <row r="38" spans="1:23" x14ac:dyDescent="0.2">
      <c r="A38" s="59">
        <v>24</v>
      </c>
      <c r="B38" s="6" t="s">
        <v>46</v>
      </c>
      <c r="C38" s="12" t="s">
        <v>14</v>
      </c>
      <c r="D38" s="34">
        <v>569</v>
      </c>
      <c r="E38" s="35">
        <v>379</v>
      </c>
      <c r="F38" s="23">
        <f t="shared" si="7"/>
        <v>367.63</v>
      </c>
      <c r="G38" s="24">
        <f t="shared" si="7"/>
        <v>360.05</v>
      </c>
      <c r="H38" s="25">
        <f t="shared" si="7"/>
        <v>356.26</v>
      </c>
      <c r="J38" s="76">
        <v>569</v>
      </c>
      <c r="K38" s="76">
        <f t="shared" si="4"/>
        <v>569</v>
      </c>
      <c r="L38" s="76">
        <v>379</v>
      </c>
      <c r="M38" s="76">
        <f t="shared" si="5"/>
        <v>380</v>
      </c>
      <c r="N38" s="88">
        <f t="shared" si="6"/>
        <v>-1</v>
      </c>
      <c r="O38" s="1" t="s">
        <v>291</v>
      </c>
      <c r="P38" s="1">
        <v>225</v>
      </c>
      <c r="Q38" s="1">
        <v>22.5</v>
      </c>
      <c r="S38" s="1">
        <f t="shared" si="1"/>
        <v>247.5</v>
      </c>
      <c r="T38" s="1">
        <v>0.05</v>
      </c>
      <c r="U38" s="1">
        <f t="shared" si="2"/>
        <v>259.875</v>
      </c>
      <c r="V38" s="1">
        <v>0.41799999999999998</v>
      </c>
      <c r="W38" s="1">
        <v>0.5</v>
      </c>
    </row>
    <row r="39" spans="1:23" x14ac:dyDescent="0.2">
      <c r="A39" s="59">
        <v>25</v>
      </c>
      <c r="B39" s="6" t="s">
        <v>47</v>
      </c>
      <c r="C39" s="12" t="s">
        <v>14</v>
      </c>
      <c r="D39" s="34">
        <v>548</v>
      </c>
      <c r="E39" s="35">
        <v>365</v>
      </c>
      <c r="F39" s="23">
        <f t="shared" ref="F39:H54" si="8">$E39*(1-F$1)</f>
        <v>354.05</v>
      </c>
      <c r="G39" s="24">
        <f t="shared" si="8"/>
        <v>346.75</v>
      </c>
      <c r="H39" s="25">
        <f t="shared" si="8"/>
        <v>343.09999999999997</v>
      </c>
      <c r="J39" s="76">
        <v>548</v>
      </c>
      <c r="K39" s="76">
        <f t="shared" si="4"/>
        <v>548</v>
      </c>
      <c r="L39" s="76">
        <v>365</v>
      </c>
      <c r="M39" s="76">
        <f t="shared" si="5"/>
        <v>365</v>
      </c>
      <c r="N39" s="88">
        <f t="shared" si="6"/>
        <v>0</v>
      </c>
      <c r="O39" s="1" t="s">
        <v>291</v>
      </c>
      <c r="P39" s="1">
        <v>215</v>
      </c>
      <c r="Q39" s="1">
        <v>22.5</v>
      </c>
      <c r="S39" s="1">
        <f t="shared" si="1"/>
        <v>237.5</v>
      </c>
      <c r="T39" s="1">
        <v>0.05</v>
      </c>
      <c r="U39" s="1">
        <f t="shared" si="2"/>
        <v>249.375</v>
      </c>
      <c r="V39" s="1">
        <v>0.42199999999999999</v>
      </c>
      <c r="W39" s="1">
        <v>0.5</v>
      </c>
    </row>
    <row r="40" spans="1:23" x14ac:dyDescent="0.2">
      <c r="A40" s="59">
        <v>26</v>
      </c>
      <c r="B40" s="6" t="s">
        <v>250</v>
      </c>
      <c r="C40" s="12" t="s">
        <v>14</v>
      </c>
      <c r="D40" s="34">
        <v>620</v>
      </c>
      <c r="E40" s="35">
        <v>413</v>
      </c>
      <c r="F40" s="23">
        <f t="shared" si="8"/>
        <v>400.61</v>
      </c>
      <c r="G40" s="24">
        <f t="shared" si="8"/>
        <v>392.34999999999997</v>
      </c>
      <c r="H40" s="25">
        <f t="shared" si="8"/>
        <v>388.21999999999997</v>
      </c>
      <c r="J40" s="76">
        <v>620</v>
      </c>
      <c r="K40" s="76">
        <f t="shared" si="4"/>
        <v>620</v>
      </c>
      <c r="L40" s="76">
        <v>413</v>
      </c>
      <c r="M40" s="76">
        <f t="shared" si="5"/>
        <v>413</v>
      </c>
      <c r="N40" s="88">
        <f t="shared" si="6"/>
        <v>0</v>
      </c>
      <c r="O40" s="1" t="s">
        <v>291</v>
      </c>
      <c r="P40" s="1">
        <v>255</v>
      </c>
      <c r="Q40" s="1">
        <v>22.5</v>
      </c>
      <c r="S40" s="1">
        <f t="shared" si="1"/>
        <v>277.5</v>
      </c>
      <c r="T40" s="1">
        <v>0.05</v>
      </c>
      <c r="U40" s="1">
        <f t="shared" si="2"/>
        <v>291.375</v>
      </c>
      <c r="V40" s="1">
        <v>0.377</v>
      </c>
      <c r="W40" s="1">
        <v>0.5</v>
      </c>
    </row>
    <row r="41" spans="1:23" x14ac:dyDescent="0.2">
      <c r="A41" s="59">
        <v>27</v>
      </c>
      <c r="B41" s="6" t="s">
        <v>251</v>
      </c>
      <c r="C41" s="12" t="s">
        <v>14</v>
      </c>
      <c r="D41" s="34">
        <v>599</v>
      </c>
      <c r="E41" s="35">
        <v>399</v>
      </c>
      <c r="F41" s="23">
        <f t="shared" si="8"/>
        <v>387.03</v>
      </c>
      <c r="G41" s="24">
        <f t="shared" si="8"/>
        <v>379.04999999999995</v>
      </c>
      <c r="H41" s="25">
        <f t="shared" si="8"/>
        <v>375.06</v>
      </c>
      <c r="J41" s="76">
        <v>599</v>
      </c>
      <c r="K41" s="76">
        <f t="shared" si="4"/>
        <v>599</v>
      </c>
      <c r="L41" s="76">
        <v>399</v>
      </c>
      <c r="M41" s="76">
        <f t="shared" si="5"/>
        <v>400</v>
      </c>
      <c r="N41" s="88">
        <f t="shared" si="6"/>
        <v>-1</v>
      </c>
      <c r="O41" s="1" t="s">
        <v>291</v>
      </c>
      <c r="P41" s="1">
        <v>245</v>
      </c>
      <c r="Q41" s="1">
        <v>22.5</v>
      </c>
      <c r="S41" s="1">
        <f t="shared" si="1"/>
        <v>267.5</v>
      </c>
      <c r="T41" s="1">
        <v>0.05</v>
      </c>
      <c r="U41" s="1">
        <f t="shared" si="2"/>
        <v>280.875</v>
      </c>
      <c r="V41" s="1">
        <v>0.38100000000000001</v>
      </c>
      <c r="W41" s="1">
        <v>0.5</v>
      </c>
    </row>
    <row r="42" spans="1:23" x14ac:dyDescent="0.2">
      <c r="A42" s="20"/>
      <c r="B42" s="2" t="s">
        <v>49</v>
      </c>
      <c r="C42" s="14"/>
      <c r="D42" s="48"/>
      <c r="E42" s="48"/>
      <c r="F42" s="48"/>
      <c r="G42" s="48"/>
      <c r="H42" s="48"/>
      <c r="J42" s="78"/>
      <c r="K42" s="76">
        <f t="shared" si="4"/>
        <v>0</v>
      </c>
      <c r="L42" s="78"/>
      <c r="M42" s="76">
        <f t="shared" si="5"/>
        <v>0</v>
      </c>
      <c r="N42" s="88">
        <f t="shared" si="6"/>
        <v>0</v>
      </c>
      <c r="S42" s="1">
        <f t="shared" si="1"/>
        <v>0</v>
      </c>
      <c r="U42" s="1">
        <f t="shared" si="2"/>
        <v>0</v>
      </c>
    </row>
    <row r="43" spans="1:23" x14ac:dyDescent="0.2">
      <c r="A43" s="59">
        <v>28</v>
      </c>
      <c r="B43" s="6" t="s">
        <v>51</v>
      </c>
      <c r="C43" s="12" t="s">
        <v>14</v>
      </c>
      <c r="D43" s="34">
        <v>457</v>
      </c>
      <c r="E43" s="35">
        <v>328</v>
      </c>
      <c r="F43" s="23">
        <f t="shared" si="8"/>
        <v>318.15999999999997</v>
      </c>
      <c r="G43" s="24">
        <f t="shared" si="8"/>
        <v>311.59999999999997</v>
      </c>
      <c r="H43" s="25">
        <f t="shared" si="8"/>
        <v>308.32</v>
      </c>
      <c r="J43" s="76">
        <v>457</v>
      </c>
      <c r="K43" s="76">
        <f t="shared" si="4"/>
        <v>457</v>
      </c>
      <c r="L43" s="76">
        <v>328</v>
      </c>
      <c r="M43" s="76">
        <f t="shared" si="5"/>
        <v>329</v>
      </c>
      <c r="N43" s="88">
        <f t="shared" si="6"/>
        <v>-1</v>
      </c>
      <c r="O43" s="1" t="s">
        <v>293</v>
      </c>
      <c r="P43" s="1">
        <v>155</v>
      </c>
      <c r="Q43" s="1">
        <v>41.66</v>
      </c>
      <c r="S43" s="1">
        <f t="shared" si="1"/>
        <v>196.66</v>
      </c>
      <c r="T43" s="1">
        <v>0.05</v>
      </c>
      <c r="U43" s="1">
        <f t="shared" si="2"/>
        <v>206.49299999999999</v>
      </c>
      <c r="V43" s="1">
        <v>0.54500000000000004</v>
      </c>
      <c r="W43" s="1">
        <v>0.39200000000000002</v>
      </c>
    </row>
    <row r="44" spans="1:23" x14ac:dyDescent="0.2">
      <c r="A44" s="59">
        <v>29</v>
      </c>
      <c r="B44" s="6" t="s">
        <v>52</v>
      </c>
      <c r="C44" s="12" t="s">
        <v>14</v>
      </c>
      <c r="D44" s="34">
        <v>603</v>
      </c>
      <c r="E44" s="35">
        <v>432</v>
      </c>
      <c r="F44" s="23">
        <f t="shared" si="8"/>
        <v>419.03999999999996</v>
      </c>
      <c r="G44" s="24">
        <f t="shared" si="8"/>
        <v>410.4</v>
      </c>
      <c r="H44" s="25">
        <f t="shared" si="8"/>
        <v>406.08</v>
      </c>
      <c r="J44" s="76">
        <v>603</v>
      </c>
      <c r="K44" s="76">
        <f t="shared" si="4"/>
        <v>603</v>
      </c>
      <c r="L44" s="76">
        <v>432</v>
      </c>
      <c r="M44" s="76">
        <f t="shared" si="5"/>
        <v>432</v>
      </c>
      <c r="N44" s="88">
        <f t="shared" si="6"/>
        <v>0</v>
      </c>
      <c r="O44" s="1" t="s">
        <v>293</v>
      </c>
      <c r="P44" s="1">
        <v>230</v>
      </c>
      <c r="Q44" s="1">
        <v>41.66</v>
      </c>
      <c r="S44" s="1">
        <f t="shared" si="1"/>
        <v>271.65999999999997</v>
      </c>
      <c r="T44" s="1">
        <v>0.05</v>
      </c>
      <c r="U44" s="1">
        <f t="shared" si="2"/>
        <v>285.24299999999999</v>
      </c>
      <c r="V44" s="1">
        <v>0.47</v>
      </c>
      <c r="W44" s="1">
        <v>0.39700000000000002</v>
      </c>
    </row>
    <row r="45" spans="1:23" x14ac:dyDescent="0.2">
      <c r="A45" s="59">
        <v>30</v>
      </c>
      <c r="B45" s="6" t="s">
        <v>53</v>
      </c>
      <c r="C45" s="12" t="s">
        <v>14</v>
      </c>
      <c r="D45" s="34">
        <v>424</v>
      </c>
      <c r="E45" s="35">
        <v>304</v>
      </c>
      <c r="F45" s="23">
        <f t="shared" si="8"/>
        <v>294.88</v>
      </c>
      <c r="G45" s="24">
        <f t="shared" si="8"/>
        <v>288.8</v>
      </c>
      <c r="H45" s="25">
        <f t="shared" si="8"/>
        <v>285.76</v>
      </c>
      <c r="J45" s="76">
        <v>424</v>
      </c>
      <c r="K45" s="76">
        <f t="shared" si="4"/>
        <v>424</v>
      </c>
      <c r="L45" s="76">
        <v>304</v>
      </c>
      <c r="M45" s="76">
        <f t="shared" si="5"/>
        <v>304</v>
      </c>
      <c r="N45" s="88">
        <f t="shared" si="6"/>
        <v>0</v>
      </c>
      <c r="O45" s="1" t="s">
        <v>293</v>
      </c>
      <c r="P45" s="1">
        <v>140</v>
      </c>
      <c r="Q45" s="1">
        <v>41.66</v>
      </c>
      <c r="S45" s="1">
        <f t="shared" si="1"/>
        <v>181.66</v>
      </c>
      <c r="T45" s="1">
        <v>0.05</v>
      </c>
      <c r="U45" s="1">
        <f t="shared" si="2"/>
        <v>190.74299999999999</v>
      </c>
      <c r="V45" s="1">
        <v>0.54900000000000004</v>
      </c>
      <c r="W45" s="1">
        <v>0.39200000000000002</v>
      </c>
    </row>
    <row r="46" spans="1:23" x14ac:dyDescent="0.2">
      <c r="A46" s="59">
        <v>31</v>
      </c>
      <c r="B46" s="6" t="s">
        <v>54</v>
      </c>
      <c r="C46" s="12" t="s">
        <v>14</v>
      </c>
      <c r="D46" s="34">
        <v>607</v>
      </c>
      <c r="E46" s="35">
        <v>435</v>
      </c>
      <c r="F46" s="23">
        <f t="shared" si="8"/>
        <v>421.95</v>
      </c>
      <c r="G46" s="24">
        <f t="shared" si="8"/>
        <v>413.25</v>
      </c>
      <c r="H46" s="25">
        <f t="shared" si="8"/>
        <v>408.9</v>
      </c>
      <c r="J46" s="76">
        <v>607</v>
      </c>
      <c r="K46" s="76">
        <f t="shared" si="4"/>
        <v>607</v>
      </c>
      <c r="L46" s="76">
        <v>435</v>
      </c>
      <c r="M46" s="76">
        <f t="shared" si="5"/>
        <v>435</v>
      </c>
      <c r="N46" s="88">
        <f t="shared" si="6"/>
        <v>0</v>
      </c>
      <c r="O46" s="1" t="s">
        <v>293</v>
      </c>
      <c r="P46" s="1">
        <v>220</v>
      </c>
      <c r="Q46" s="1">
        <v>41.66</v>
      </c>
      <c r="S46" s="1">
        <f t="shared" si="1"/>
        <v>261.65999999999997</v>
      </c>
      <c r="T46" s="1">
        <v>0.05</v>
      </c>
      <c r="U46" s="1">
        <f t="shared" si="2"/>
        <v>274.74299999999999</v>
      </c>
      <c r="V46" s="1">
        <v>0.53800000000000003</v>
      </c>
      <c r="W46" s="1">
        <v>0.39500000000000002</v>
      </c>
    </row>
    <row r="47" spans="1:23" x14ac:dyDescent="0.2">
      <c r="A47" s="59">
        <v>32</v>
      </c>
      <c r="B47" s="6" t="s">
        <v>55</v>
      </c>
      <c r="C47" s="12" t="s">
        <v>14</v>
      </c>
      <c r="D47" s="34">
        <v>501</v>
      </c>
      <c r="E47" s="35">
        <v>359</v>
      </c>
      <c r="F47" s="23">
        <f t="shared" si="8"/>
        <v>348.23</v>
      </c>
      <c r="G47" s="24">
        <f t="shared" si="8"/>
        <v>341.05</v>
      </c>
      <c r="H47" s="25">
        <f t="shared" si="8"/>
        <v>337.46</v>
      </c>
      <c r="J47" s="76">
        <v>501</v>
      </c>
      <c r="K47" s="76">
        <f t="shared" si="4"/>
        <v>501</v>
      </c>
      <c r="L47" s="76">
        <v>359</v>
      </c>
      <c r="M47" s="76">
        <f t="shared" si="5"/>
        <v>359</v>
      </c>
      <c r="N47" s="88">
        <f t="shared" si="6"/>
        <v>0</v>
      </c>
      <c r="O47" s="1" t="s">
        <v>293</v>
      </c>
      <c r="P47" s="1">
        <v>155</v>
      </c>
      <c r="Q47" s="1">
        <v>41.66</v>
      </c>
      <c r="S47" s="1">
        <f t="shared" si="1"/>
        <v>196.66</v>
      </c>
      <c r="T47" s="1">
        <v>0.05</v>
      </c>
      <c r="U47" s="1">
        <f t="shared" si="2"/>
        <v>206.49299999999999</v>
      </c>
      <c r="V47" s="1">
        <v>0.68899999999999995</v>
      </c>
      <c r="W47" s="1">
        <v>0.39500000000000002</v>
      </c>
    </row>
    <row r="48" spans="1:23" x14ac:dyDescent="0.2">
      <c r="A48" s="59">
        <v>33</v>
      </c>
      <c r="B48" s="6" t="s">
        <v>56</v>
      </c>
      <c r="C48" s="12" t="s">
        <v>14</v>
      </c>
      <c r="D48" s="34">
        <v>462</v>
      </c>
      <c r="E48" s="35">
        <v>331</v>
      </c>
      <c r="F48" s="23">
        <f t="shared" si="8"/>
        <v>321.07</v>
      </c>
      <c r="G48" s="24">
        <f t="shared" si="8"/>
        <v>314.45</v>
      </c>
      <c r="H48" s="25">
        <f t="shared" si="8"/>
        <v>311.14</v>
      </c>
      <c r="J48" s="76">
        <v>462</v>
      </c>
      <c r="K48" s="76">
        <f t="shared" si="4"/>
        <v>462</v>
      </c>
      <c r="L48" s="76">
        <v>331</v>
      </c>
      <c r="M48" s="76">
        <f t="shared" si="5"/>
        <v>331</v>
      </c>
      <c r="N48" s="88">
        <f t="shared" si="6"/>
        <v>0</v>
      </c>
      <c r="O48" s="1" t="s">
        <v>293</v>
      </c>
      <c r="P48" s="1">
        <v>140</v>
      </c>
      <c r="Q48" s="1">
        <v>41.66</v>
      </c>
      <c r="S48" s="1">
        <f t="shared" si="1"/>
        <v>181.66</v>
      </c>
      <c r="T48" s="1">
        <v>0.05</v>
      </c>
      <c r="U48" s="1">
        <f t="shared" si="2"/>
        <v>190.74299999999999</v>
      </c>
      <c r="V48" s="1">
        <v>0.68500000000000005</v>
      </c>
      <c r="W48" s="1">
        <v>0.39500000000000002</v>
      </c>
    </row>
    <row r="49" spans="1:23" x14ac:dyDescent="0.2">
      <c r="A49" s="59">
        <v>34</v>
      </c>
      <c r="B49" s="6" t="s">
        <v>57</v>
      </c>
      <c r="C49" s="12" t="s">
        <v>14</v>
      </c>
      <c r="D49" s="34">
        <v>612</v>
      </c>
      <c r="E49" s="35">
        <v>446</v>
      </c>
      <c r="F49" s="23">
        <f t="shared" si="8"/>
        <v>432.62</v>
      </c>
      <c r="G49" s="24">
        <f t="shared" si="8"/>
        <v>423.7</v>
      </c>
      <c r="H49" s="25">
        <f t="shared" si="8"/>
        <v>419.23999999999995</v>
      </c>
      <c r="J49" s="76">
        <v>612</v>
      </c>
      <c r="K49" s="76">
        <f t="shared" si="4"/>
        <v>612</v>
      </c>
      <c r="L49" s="76">
        <v>446</v>
      </c>
      <c r="M49" s="76">
        <f t="shared" si="5"/>
        <v>446</v>
      </c>
      <c r="N49" s="88">
        <f t="shared" si="6"/>
        <v>0</v>
      </c>
      <c r="O49" s="1" t="s">
        <v>293</v>
      </c>
      <c r="P49" s="1">
        <v>230</v>
      </c>
      <c r="Q49" s="1">
        <v>41.66</v>
      </c>
      <c r="S49" s="1">
        <f t="shared" si="1"/>
        <v>271.65999999999997</v>
      </c>
      <c r="T49" s="1">
        <v>0.05</v>
      </c>
      <c r="U49" s="1">
        <f t="shared" si="2"/>
        <v>285.24299999999999</v>
      </c>
      <c r="V49" s="1">
        <v>0.51800000000000002</v>
      </c>
      <c r="W49" s="1">
        <v>0.372</v>
      </c>
    </row>
    <row r="50" spans="1:23" x14ac:dyDescent="0.2">
      <c r="A50" s="59">
        <v>35</v>
      </c>
      <c r="B50" s="6" t="s">
        <v>58</v>
      </c>
      <c r="C50" s="12" t="s">
        <v>14</v>
      </c>
      <c r="D50" s="34">
        <v>564</v>
      </c>
      <c r="E50" s="35">
        <v>404</v>
      </c>
      <c r="F50" s="23">
        <f t="shared" si="8"/>
        <v>391.88</v>
      </c>
      <c r="G50" s="24">
        <f t="shared" si="8"/>
        <v>383.79999999999995</v>
      </c>
      <c r="H50" s="25">
        <f t="shared" si="8"/>
        <v>379.76</v>
      </c>
      <c r="J50" s="76">
        <v>564</v>
      </c>
      <c r="K50" s="76">
        <f t="shared" si="4"/>
        <v>564</v>
      </c>
      <c r="L50" s="76">
        <v>404</v>
      </c>
      <c r="M50" s="76">
        <f t="shared" si="5"/>
        <v>404</v>
      </c>
      <c r="N50" s="88">
        <f t="shared" si="6"/>
        <v>0</v>
      </c>
      <c r="O50" s="1" t="s">
        <v>293</v>
      </c>
      <c r="P50" s="1">
        <v>155</v>
      </c>
      <c r="Q50" s="1">
        <v>41.66</v>
      </c>
      <c r="S50" s="1">
        <f t="shared" si="1"/>
        <v>196.66</v>
      </c>
      <c r="T50" s="1">
        <v>0.05</v>
      </c>
      <c r="U50" s="1">
        <f t="shared" si="2"/>
        <v>206.49299999999999</v>
      </c>
      <c r="V50" s="1">
        <v>0.90046300000000001</v>
      </c>
      <c r="W50" s="1">
        <v>0.39500000000000002</v>
      </c>
    </row>
    <row r="51" spans="1:23" x14ac:dyDescent="0.2">
      <c r="A51" s="59">
        <v>36</v>
      </c>
      <c r="B51" s="6" t="s">
        <v>59</v>
      </c>
      <c r="C51" s="12" t="s">
        <v>14</v>
      </c>
      <c r="D51" s="34">
        <v>698</v>
      </c>
      <c r="E51" s="35">
        <v>500</v>
      </c>
      <c r="F51" s="23">
        <f t="shared" si="8"/>
        <v>485</v>
      </c>
      <c r="G51" s="24">
        <f t="shared" si="8"/>
        <v>475</v>
      </c>
      <c r="H51" s="25">
        <f t="shared" si="8"/>
        <v>470</v>
      </c>
      <c r="J51" s="76">
        <v>698</v>
      </c>
      <c r="K51" s="76">
        <f t="shared" si="4"/>
        <v>699</v>
      </c>
      <c r="L51" s="76">
        <v>500</v>
      </c>
      <c r="M51" s="76">
        <f t="shared" si="5"/>
        <v>500</v>
      </c>
      <c r="N51" s="88">
        <f t="shared" si="6"/>
        <v>-1</v>
      </c>
      <c r="O51" s="1" t="s">
        <v>293</v>
      </c>
      <c r="P51" s="1">
        <v>230</v>
      </c>
      <c r="Q51" s="1">
        <v>41.66</v>
      </c>
      <c r="S51" s="1">
        <f t="shared" si="1"/>
        <v>271.65999999999997</v>
      </c>
      <c r="T51" s="1">
        <v>0.05</v>
      </c>
      <c r="U51" s="1">
        <f t="shared" si="2"/>
        <v>285.24299999999999</v>
      </c>
      <c r="V51" s="1">
        <v>0.70199999999999996</v>
      </c>
      <c r="W51" s="1">
        <v>0.39700000000000002</v>
      </c>
    </row>
    <row r="52" spans="1:23" x14ac:dyDescent="0.2">
      <c r="A52" s="59">
        <v>37</v>
      </c>
      <c r="B52" s="6" t="s">
        <v>60</v>
      </c>
      <c r="C52" s="12" t="s">
        <v>14</v>
      </c>
      <c r="D52" s="34">
        <v>525</v>
      </c>
      <c r="E52" s="35">
        <v>376</v>
      </c>
      <c r="F52" s="23">
        <f t="shared" si="8"/>
        <v>364.71999999999997</v>
      </c>
      <c r="G52" s="24">
        <f t="shared" si="8"/>
        <v>357.2</v>
      </c>
      <c r="H52" s="25">
        <f t="shared" si="8"/>
        <v>353.44</v>
      </c>
      <c r="J52" s="76">
        <v>525</v>
      </c>
      <c r="K52" s="76">
        <f t="shared" si="4"/>
        <v>525</v>
      </c>
      <c r="L52" s="76">
        <v>376</v>
      </c>
      <c r="M52" s="76">
        <f t="shared" si="5"/>
        <v>376</v>
      </c>
      <c r="N52" s="88">
        <f t="shared" si="6"/>
        <v>0</v>
      </c>
      <c r="O52" s="1" t="s">
        <v>293</v>
      </c>
      <c r="P52" s="1">
        <v>140</v>
      </c>
      <c r="Q52" s="1">
        <v>41.66</v>
      </c>
      <c r="S52" s="1">
        <f t="shared" si="1"/>
        <v>181.66</v>
      </c>
      <c r="T52" s="1">
        <v>0.05</v>
      </c>
      <c r="U52" s="1">
        <f t="shared" si="2"/>
        <v>190.74299999999999</v>
      </c>
      <c r="V52" s="1">
        <v>0.91500000000000004</v>
      </c>
      <c r="W52" s="1">
        <v>0.39500000000000002</v>
      </c>
    </row>
    <row r="53" spans="1:23" x14ac:dyDescent="0.2">
      <c r="A53" s="59">
        <v>38</v>
      </c>
      <c r="B53" s="6" t="s">
        <v>61</v>
      </c>
      <c r="C53" s="12" t="s">
        <v>14</v>
      </c>
      <c r="D53" s="34">
        <v>704</v>
      </c>
      <c r="E53" s="35">
        <v>504</v>
      </c>
      <c r="F53" s="23">
        <f t="shared" si="8"/>
        <v>488.88</v>
      </c>
      <c r="G53" s="24">
        <f t="shared" si="8"/>
        <v>478.79999999999995</v>
      </c>
      <c r="H53" s="25">
        <f t="shared" si="8"/>
        <v>473.76</v>
      </c>
      <c r="J53" s="76">
        <v>704</v>
      </c>
      <c r="K53" s="76">
        <f t="shared" si="4"/>
        <v>704</v>
      </c>
      <c r="L53" s="76">
        <v>504</v>
      </c>
      <c r="M53" s="76">
        <f t="shared" si="5"/>
        <v>504</v>
      </c>
      <c r="N53" s="88">
        <f t="shared" si="6"/>
        <v>0</v>
      </c>
      <c r="O53" s="1" t="s">
        <v>293</v>
      </c>
      <c r="P53" s="1">
        <v>220</v>
      </c>
      <c r="Q53" s="1">
        <v>41.66</v>
      </c>
      <c r="S53" s="1">
        <f t="shared" si="1"/>
        <v>261.65999999999997</v>
      </c>
      <c r="T53" s="1">
        <v>0.05</v>
      </c>
      <c r="U53" s="1">
        <f t="shared" si="2"/>
        <v>274.74299999999999</v>
      </c>
      <c r="V53" s="1">
        <v>0.78</v>
      </c>
      <c r="W53" s="1">
        <v>0.39800000000000002</v>
      </c>
    </row>
    <row r="54" spans="1:23" x14ac:dyDescent="0.2">
      <c r="A54" s="59">
        <v>39</v>
      </c>
      <c r="B54" s="6" t="s">
        <v>62</v>
      </c>
      <c r="C54" s="12" t="s">
        <v>14</v>
      </c>
      <c r="D54" s="34">
        <v>514</v>
      </c>
      <c r="E54" s="35">
        <v>368</v>
      </c>
      <c r="F54" s="23">
        <f t="shared" si="8"/>
        <v>356.96</v>
      </c>
      <c r="G54" s="24">
        <f t="shared" si="8"/>
        <v>349.59999999999997</v>
      </c>
      <c r="H54" s="25">
        <f t="shared" si="8"/>
        <v>345.91999999999996</v>
      </c>
      <c r="J54" s="76">
        <v>514</v>
      </c>
      <c r="K54" s="76">
        <f t="shared" si="4"/>
        <v>514</v>
      </c>
      <c r="L54" s="76">
        <v>368</v>
      </c>
      <c r="M54" s="76">
        <f t="shared" si="5"/>
        <v>368</v>
      </c>
      <c r="N54" s="88">
        <f t="shared" si="6"/>
        <v>0</v>
      </c>
      <c r="O54" s="1" t="s">
        <v>293</v>
      </c>
      <c r="P54" s="1">
        <v>155</v>
      </c>
      <c r="Q54" s="1">
        <v>41.66</v>
      </c>
      <c r="S54" s="1">
        <f t="shared" si="1"/>
        <v>196.66</v>
      </c>
      <c r="T54" s="1">
        <v>0.05</v>
      </c>
      <c r="U54" s="1">
        <f t="shared" si="2"/>
        <v>206.49299999999999</v>
      </c>
      <c r="V54" s="1">
        <v>0.72899999999999998</v>
      </c>
      <c r="W54" s="1">
        <v>0.39800000000000002</v>
      </c>
    </row>
    <row r="55" spans="1:23" x14ac:dyDescent="0.2">
      <c r="A55" s="59">
        <v>40</v>
      </c>
      <c r="B55" s="6" t="s">
        <v>63</v>
      </c>
      <c r="C55" s="12" t="s">
        <v>14</v>
      </c>
      <c r="D55" s="34">
        <v>687</v>
      </c>
      <c r="E55" s="35">
        <v>492</v>
      </c>
      <c r="F55" s="23">
        <f t="shared" ref="F55:H70" si="9">$E55*(1-F$1)</f>
        <v>477.24</v>
      </c>
      <c r="G55" s="24">
        <f t="shared" si="9"/>
        <v>467.4</v>
      </c>
      <c r="H55" s="25">
        <f t="shared" si="9"/>
        <v>462.47999999999996</v>
      </c>
      <c r="J55" s="76">
        <v>687</v>
      </c>
      <c r="K55" s="76">
        <f t="shared" si="4"/>
        <v>687</v>
      </c>
      <c r="L55" s="76">
        <v>492</v>
      </c>
      <c r="M55" s="76">
        <f t="shared" si="5"/>
        <v>492</v>
      </c>
      <c r="N55" s="88">
        <f t="shared" si="6"/>
        <v>0</v>
      </c>
      <c r="O55" s="1" t="s">
        <v>293</v>
      </c>
      <c r="P55" s="1">
        <v>230</v>
      </c>
      <c r="Q55" s="1">
        <v>41.66</v>
      </c>
      <c r="S55" s="1">
        <f t="shared" si="1"/>
        <v>271.65999999999997</v>
      </c>
      <c r="T55" s="1">
        <v>0.05</v>
      </c>
      <c r="U55" s="1">
        <f t="shared" si="2"/>
        <v>285.24299999999999</v>
      </c>
      <c r="V55" s="1">
        <v>0.67500000000000004</v>
      </c>
      <c r="W55" s="1">
        <v>0.39700000000000002</v>
      </c>
    </row>
    <row r="56" spans="1:23" x14ac:dyDescent="0.2">
      <c r="A56" s="59">
        <v>41</v>
      </c>
      <c r="B56" s="6" t="s">
        <v>64</v>
      </c>
      <c r="C56" s="12" t="s">
        <v>14</v>
      </c>
      <c r="D56" s="34">
        <v>568</v>
      </c>
      <c r="E56" s="35">
        <v>407</v>
      </c>
      <c r="F56" s="23">
        <f t="shared" si="9"/>
        <v>394.78999999999996</v>
      </c>
      <c r="G56" s="24">
        <f t="shared" si="9"/>
        <v>386.65</v>
      </c>
      <c r="H56" s="25">
        <f t="shared" si="9"/>
        <v>382.58</v>
      </c>
      <c r="J56" s="76">
        <v>568</v>
      </c>
      <c r="K56" s="76">
        <f t="shared" si="4"/>
        <v>568</v>
      </c>
      <c r="L56" s="76">
        <v>407</v>
      </c>
      <c r="M56" s="76">
        <f t="shared" si="5"/>
        <v>407</v>
      </c>
      <c r="N56" s="88">
        <f t="shared" si="6"/>
        <v>0</v>
      </c>
      <c r="O56" s="1" t="s">
        <v>293</v>
      </c>
      <c r="P56" s="1">
        <v>140</v>
      </c>
      <c r="Q56" s="1">
        <v>41.66</v>
      </c>
      <c r="S56" s="1">
        <f t="shared" si="1"/>
        <v>181.66</v>
      </c>
      <c r="T56" s="1">
        <v>0.05</v>
      </c>
      <c r="U56" s="1">
        <f t="shared" si="2"/>
        <v>190.74299999999999</v>
      </c>
      <c r="V56" s="1">
        <v>1.07</v>
      </c>
      <c r="W56" s="1">
        <v>0.39700000000000002</v>
      </c>
    </row>
    <row r="57" spans="1:23" x14ac:dyDescent="0.2">
      <c r="A57" s="59">
        <v>42</v>
      </c>
      <c r="B57" s="6" t="s">
        <v>65</v>
      </c>
      <c r="C57" s="12" t="s">
        <v>14</v>
      </c>
      <c r="D57" s="34">
        <v>663</v>
      </c>
      <c r="E57" s="35">
        <v>475</v>
      </c>
      <c r="F57" s="23">
        <f t="shared" si="9"/>
        <v>460.75</v>
      </c>
      <c r="G57" s="24">
        <f t="shared" si="9"/>
        <v>451.25</v>
      </c>
      <c r="H57" s="25">
        <f t="shared" si="9"/>
        <v>446.5</v>
      </c>
      <c r="J57" s="76">
        <v>663</v>
      </c>
      <c r="K57" s="76">
        <f t="shared" si="4"/>
        <v>663</v>
      </c>
      <c r="L57" s="76">
        <v>475</v>
      </c>
      <c r="M57" s="76">
        <f t="shared" si="5"/>
        <v>475</v>
      </c>
      <c r="N57" s="88">
        <f t="shared" si="6"/>
        <v>0</v>
      </c>
      <c r="O57" s="1" t="s">
        <v>293</v>
      </c>
      <c r="P57" s="1">
        <v>220</v>
      </c>
      <c r="Q57" s="1">
        <v>41.66</v>
      </c>
      <c r="S57" s="1">
        <f t="shared" si="1"/>
        <v>261.65999999999997</v>
      </c>
      <c r="T57" s="1">
        <v>0.05</v>
      </c>
      <c r="U57" s="1">
        <f t="shared" si="2"/>
        <v>274.74299999999999</v>
      </c>
      <c r="V57" s="1">
        <v>0.67800000000000005</v>
      </c>
      <c r="W57" s="1">
        <v>0.39600000000000002</v>
      </c>
    </row>
    <row r="58" spans="1:23" x14ac:dyDescent="0.2">
      <c r="A58" s="60">
        <v>43</v>
      </c>
      <c r="B58" s="8" t="s">
        <v>50</v>
      </c>
      <c r="C58" s="15" t="s">
        <v>14</v>
      </c>
      <c r="D58" s="21">
        <v>573</v>
      </c>
      <c r="E58" s="22">
        <v>411</v>
      </c>
      <c r="F58" s="23">
        <f>$E58*(1-F$1)</f>
        <v>398.67</v>
      </c>
      <c r="G58" s="24">
        <f>$E58*(1-G$1)</f>
        <v>390.45</v>
      </c>
      <c r="H58" s="25">
        <f>$E58*(1-H$1)</f>
        <v>386.34</v>
      </c>
      <c r="J58" s="79">
        <v>573</v>
      </c>
      <c r="K58" s="76">
        <f t="shared" si="4"/>
        <v>573</v>
      </c>
      <c r="L58" s="79">
        <v>411</v>
      </c>
      <c r="M58" s="76">
        <f t="shared" si="5"/>
        <v>411</v>
      </c>
      <c r="N58" s="88">
        <f t="shared" si="6"/>
        <v>0</v>
      </c>
      <c r="O58" s="1" t="s">
        <v>290</v>
      </c>
      <c r="P58" s="1">
        <v>219</v>
      </c>
      <c r="S58" s="1">
        <f t="shared" si="1"/>
        <v>219</v>
      </c>
      <c r="T58" s="1">
        <v>0.05</v>
      </c>
      <c r="U58" s="1">
        <f t="shared" si="2"/>
        <v>229.95000000000002</v>
      </c>
      <c r="V58" s="1">
        <v>0.73499999999999999</v>
      </c>
      <c r="W58" s="1">
        <v>0.39400000000000002</v>
      </c>
    </row>
    <row r="59" spans="1:23" x14ac:dyDescent="0.2">
      <c r="A59" s="20"/>
      <c r="B59" s="2" t="s">
        <v>66</v>
      </c>
      <c r="C59" s="14"/>
      <c r="D59" s="48"/>
      <c r="E59" s="48"/>
      <c r="F59" s="48"/>
      <c r="G59" s="48"/>
      <c r="H59" s="48"/>
      <c r="J59" s="78"/>
      <c r="K59" s="76">
        <f t="shared" si="4"/>
        <v>0</v>
      </c>
      <c r="L59" s="78"/>
      <c r="M59" s="76">
        <f t="shared" si="5"/>
        <v>0</v>
      </c>
      <c r="N59" s="88">
        <f t="shared" si="6"/>
        <v>0</v>
      </c>
      <c r="S59" s="1">
        <f t="shared" si="1"/>
        <v>0</v>
      </c>
      <c r="U59" s="1">
        <f t="shared" si="2"/>
        <v>0</v>
      </c>
    </row>
    <row r="60" spans="1:23" x14ac:dyDescent="0.2">
      <c r="A60" s="61">
        <v>44</v>
      </c>
      <c r="B60" s="8" t="s">
        <v>67</v>
      </c>
      <c r="C60" s="15" t="s">
        <v>188</v>
      </c>
      <c r="D60" s="21">
        <v>187</v>
      </c>
      <c r="E60" s="22">
        <v>139</v>
      </c>
      <c r="F60" s="23">
        <f t="shared" si="9"/>
        <v>134.82999999999998</v>
      </c>
      <c r="G60" s="24">
        <f t="shared" si="9"/>
        <v>132.04999999999998</v>
      </c>
      <c r="H60" s="25">
        <f t="shared" si="9"/>
        <v>130.66</v>
      </c>
      <c r="J60" s="79">
        <v>187</v>
      </c>
      <c r="K60" s="76">
        <f t="shared" si="4"/>
        <v>187</v>
      </c>
      <c r="L60" s="79">
        <v>139</v>
      </c>
      <c r="M60" s="76">
        <f t="shared" si="5"/>
        <v>139</v>
      </c>
      <c r="N60" s="88">
        <f t="shared" si="6"/>
        <v>0</v>
      </c>
      <c r="O60" s="1" t="s">
        <v>292</v>
      </c>
      <c r="P60" s="1">
        <v>60</v>
      </c>
      <c r="Q60" s="1">
        <v>9</v>
      </c>
      <c r="S60" s="1">
        <f t="shared" si="1"/>
        <v>69</v>
      </c>
      <c r="U60" s="1">
        <f t="shared" si="2"/>
        <v>69</v>
      </c>
      <c r="V60" s="1">
        <v>0.96</v>
      </c>
      <c r="W60" s="1">
        <v>0.34499999999999997</v>
      </c>
    </row>
    <row r="61" spans="1:23" x14ac:dyDescent="0.2">
      <c r="A61" s="59">
        <v>45</v>
      </c>
      <c r="B61" s="6" t="s">
        <v>68</v>
      </c>
      <c r="C61" s="12" t="s">
        <v>188</v>
      </c>
      <c r="D61" s="34">
        <v>159</v>
      </c>
      <c r="E61" s="35">
        <v>119</v>
      </c>
      <c r="F61" s="23">
        <f t="shared" si="9"/>
        <v>115.42999999999999</v>
      </c>
      <c r="G61" s="24">
        <f t="shared" si="9"/>
        <v>113.05</v>
      </c>
      <c r="H61" s="25">
        <f t="shared" si="9"/>
        <v>111.86</v>
      </c>
      <c r="J61" s="76">
        <v>159</v>
      </c>
      <c r="K61" s="76">
        <f t="shared" si="4"/>
        <v>159</v>
      </c>
      <c r="L61" s="76">
        <v>119</v>
      </c>
      <c r="M61" s="76">
        <f t="shared" si="5"/>
        <v>119</v>
      </c>
      <c r="N61" s="88">
        <f t="shared" si="6"/>
        <v>0</v>
      </c>
      <c r="O61" s="1" t="s">
        <v>306</v>
      </c>
      <c r="P61" s="1">
        <v>62.5</v>
      </c>
      <c r="Q61" s="1">
        <v>7.5</v>
      </c>
      <c r="S61" s="1">
        <f t="shared" si="1"/>
        <v>70</v>
      </c>
      <c r="U61" s="1">
        <f t="shared" si="2"/>
        <v>70</v>
      </c>
      <c r="V61" s="1">
        <v>0.64564999999999995</v>
      </c>
      <c r="W61" s="1">
        <v>0.34</v>
      </c>
    </row>
    <row r="62" spans="1:23" x14ac:dyDescent="0.2">
      <c r="A62" s="60">
        <v>46</v>
      </c>
      <c r="B62" s="6" t="s">
        <v>69</v>
      </c>
      <c r="C62" s="12" t="s">
        <v>188</v>
      </c>
      <c r="D62" s="34">
        <v>251</v>
      </c>
      <c r="E62" s="35">
        <v>187</v>
      </c>
      <c r="F62" s="23">
        <f t="shared" si="9"/>
        <v>181.39</v>
      </c>
      <c r="G62" s="24">
        <f t="shared" si="9"/>
        <v>177.65</v>
      </c>
      <c r="H62" s="25">
        <f t="shared" si="9"/>
        <v>175.78</v>
      </c>
      <c r="J62" s="76">
        <v>251</v>
      </c>
      <c r="K62" s="76">
        <f t="shared" si="4"/>
        <v>251</v>
      </c>
      <c r="L62" s="76">
        <v>187</v>
      </c>
      <c r="M62" s="76">
        <f t="shared" si="5"/>
        <v>187</v>
      </c>
      <c r="N62" s="88">
        <f t="shared" si="6"/>
        <v>0</v>
      </c>
      <c r="O62" s="1" t="s">
        <v>291</v>
      </c>
      <c r="P62" s="1">
        <v>125</v>
      </c>
      <c r="Q62" s="1">
        <v>10</v>
      </c>
      <c r="S62" s="1">
        <f t="shared" si="1"/>
        <v>135</v>
      </c>
      <c r="U62" s="1">
        <f t="shared" si="2"/>
        <v>135</v>
      </c>
      <c r="V62" s="1">
        <v>0.34799999999999998</v>
      </c>
      <c r="W62" s="1">
        <v>0.34</v>
      </c>
    </row>
    <row r="63" spans="1:23" x14ac:dyDescent="0.2">
      <c r="A63" s="20"/>
      <c r="B63" s="2" t="s">
        <v>70</v>
      </c>
      <c r="C63" s="14"/>
      <c r="D63" s="49"/>
      <c r="E63" s="50"/>
      <c r="F63" s="50"/>
      <c r="G63" s="50"/>
      <c r="H63" s="50"/>
      <c r="J63" s="80"/>
      <c r="K63" s="76">
        <f t="shared" si="4"/>
        <v>0</v>
      </c>
      <c r="L63" s="81"/>
      <c r="M63" s="76">
        <f t="shared" si="5"/>
        <v>0</v>
      </c>
      <c r="N63" s="88">
        <f t="shared" si="6"/>
        <v>0</v>
      </c>
      <c r="S63" s="1">
        <f t="shared" si="1"/>
        <v>0</v>
      </c>
      <c r="U63" s="1">
        <f t="shared" si="2"/>
        <v>0</v>
      </c>
    </row>
    <row r="64" spans="1:23" x14ac:dyDescent="0.2">
      <c r="A64" s="61"/>
      <c r="B64" s="8" t="s">
        <v>71</v>
      </c>
      <c r="C64" s="15" t="s">
        <v>189</v>
      </c>
      <c r="D64" s="21">
        <v>25</v>
      </c>
      <c r="E64" s="22">
        <v>25</v>
      </c>
      <c r="F64" s="23">
        <v>25</v>
      </c>
      <c r="G64" s="24">
        <v>25</v>
      </c>
      <c r="H64" s="25">
        <v>25</v>
      </c>
      <c r="J64" s="79">
        <v>25</v>
      </c>
      <c r="K64" s="76">
        <f t="shared" si="4"/>
        <v>25</v>
      </c>
      <c r="L64" s="79">
        <v>25</v>
      </c>
      <c r="M64" s="76">
        <f t="shared" si="5"/>
        <v>25</v>
      </c>
      <c r="N64" s="88">
        <f t="shared" si="6"/>
        <v>0</v>
      </c>
      <c r="P64" s="1">
        <v>7.76</v>
      </c>
      <c r="Q64" s="1">
        <v>0.75</v>
      </c>
      <c r="S64" s="1">
        <f t="shared" si="1"/>
        <v>8.51</v>
      </c>
      <c r="U64" s="1">
        <f t="shared" si="2"/>
        <v>8.51</v>
      </c>
      <c r="V64" s="1">
        <v>1.8</v>
      </c>
    </row>
    <row r="65" spans="1:23" x14ac:dyDescent="0.2">
      <c r="A65" s="60"/>
      <c r="B65" s="7" t="s">
        <v>72</v>
      </c>
      <c r="C65" s="13" t="s">
        <v>189</v>
      </c>
      <c r="D65" s="36">
        <v>4</v>
      </c>
      <c r="E65" s="37">
        <v>4</v>
      </c>
      <c r="F65" s="23">
        <v>4</v>
      </c>
      <c r="G65" s="24">
        <v>4</v>
      </c>
      <c r="H65" s="25">
        <v>4</v>
      </c>
      <c r="J65" s="77">
        <v>4</v>
      </c>
      <c r="K65" s="76">
        <f t="shared" si="4"/>
        <v>4</v>
      </c>
      <c r="L65" s="77">
        <v>4</v>
      </c>
      <c r="M65" s="76">
        <f t="shared" si="5"/>
        <v>4</v>
      </c>
      <c r="N65" s="88">
        <f t="shared" si="6"/>
        <v>0</v>
      </c>
      <c r="P65" s="1">
        <v>2.86</v>
      </c>
      <c r="Q65" s="1">
        <v>0.75</v>
      </c>
      <c r="S65" s="1">
        <f t="shared" si="1"/>
        <v>3.61</v>
      </c>
      <c r="U65" s="1">
        <f t="shared" si="2"/>
        <v>3.61</v>
      </c>
      <c r="V65" s="1">
        <v>0.1</v>
      </c>
    </row>
    <row r="66" spans="1:23" x14ac:dyDescent="0.2">
      <c r="A66" s="20"/>
      <c r="B66" s="2" t="s">
        <v>73</v>
      </c>
      <c r="C66" s="14"/>
      <c r="D66" s="48"/>
      <c r="E66" s="48"/>
      <c r="F66" s="48"/>
      <c r="G66" s="48"/>
      <c r="H66" s="48"/>
      <c r="J66" s="78"/>
      <c r="K66" s="76">
        <f t="shared" si="4"/>
        <v>0</v>
      </c>
      <c r="L66" s="78"/>
      <c r="M66" s="76">
        <f t="shared" si="5"/>
        <v>0</v>
      </c>
      <c r="N66" s="88">
        <f t="shared" si="6"/>
        <v>0</v>
      </c>
      <c r="S66" s="1">
        <f t="shared" si="1"/>
        <v>0</v>
      </c>
      <c r="U66" s="1">
        <f t="shared" si="2"/>
        <v>0</v>
      </c>
    </row>
    <row r="67" spans="1:23" x14ac:dyDescent="0.2">
      <c r="A67" s="61">
        <v>50</v>
      </c>
      <c r="B67" s="8" t="s">
        <v>74</v>
      </c>
      <c r="C67" s="15" t="s">
        <v>14</v>
      </c>
      <c r="D67" s="21">
        <v>80</v>
      </c>
      <c r="E67" s="22">
        <v>53</v>
      </c>
      <c r="F67" s="23">
        <f t="shared" si="9"/>
        <v>51.41</v>
      </c>
      <c r="G67" s="24">
        <f t="shared" si="9"/>
        <v>50.349999999999994</v>
      </c>
      <c r="H67" s="25">
        <f t="shared" si="9"/>
        <v>49.82</v>
      </c>
      <c r="J67" s="79">
        <v>80</v>
      </c>
      <c r="K67" s="76">
        <f t="shared" si="4"/>
        <v>80</v>
      </c>
      <c r="L67" s="79">
        <v>53</v>
      </c>
      <c r="M67" s="76">
        <f t="shared" si="5"/>
        <v>53</v>
      </c>
      <c r="N67" s="88">
        <f t="shared" si="6"/>
        <v>0</v>
      </c>
      <c r="O67" s="1" t="s">
        <v>276</v>
      </c>
      <c r="P67" s="1">
        <v>24.3</v>
      </c>
      <c r="Q67" s="1">
        <v>7</v>
      </c>
      <c r="S67" s="1">
        <f t="shared" si="1"/>
        <v>31.3</v>
      </c>
      <c r="T67" s="1">
        <v>0.1</v>
      </c>
      <c r="U67" s="1">
        <f t="shared" si="2"/>
        <v>34.430000000000007</v>
      </c>
      <c r="V67" s="1">
        <v>0.49</v>
      </c>
      <c r="W67" s="1">
        <v>0.51</v>
      </c>
    </row>
    <row r="68" spans="1:23" x14ac:dyDescent="0.2">
      <c r="A68" s="59">
        <v>51</v>
      </c>
      <c r="B68" s="6" t="s">
        <v>75</v>
      </c>
      <c r="C68" s="12" t="s">
        <v>14</v>
      </c>
      <c r="D68" s="34">
        <v>50</v>
      </c>
      <c r="E68" s="35">
        <v>33</v>
      </c>
      <c r="F68" s="23">
        <f t="shared" si="9"/>
        <v>32.01</v>
      </c>
      <c r="G68" s="24">
        <f t="shared" si="9"/>
        <v>31.349999999999998</v>
      </c>
      <c r="H68" s="25">
        <f t="shared" si="9"/>
        <v>31.02</v>
      </c>
      <c r="J68" s="76">
        <v>50</v>
      </c>
      <c r="K68" s="76">
        <f t="shared" si="4"/>
        <v>50</v>
      </c>
      <c r="L68" s="76">
        <v>33</v>
      </c>
      <c r="M68" s="76">
        <f t="shared" si="5"/>
        <v>33</v>
      </c>
      <c r="N68" s="88">
        <f t="shared" si="6"/>
        <v>0</v>
      </c>
      <c r="O68" s="1" t="s">
        <v>274</v>
      </c>
      <c r="P68" s="1">
        <v>14.55</v>
      </c>
      <c r="Q68" s="1">
        <v>6</v>
      </c>
      <c r="S68" s="1">
        <f t="shared" si="1"/>
        <v>20.55</v>
      </c>
      <c r="T68" s="1">
        <v>0.1</v>
      </c>
      <c r="U68" s="1">
        <f t="shared" si="2"/>
        <v>22.605000000000004</v>
      </c>
      <c r="V68" s="1">
        <v>0.4</v>
      </c>
      <c r="W68" s="1">
        <v>0.54</v>
      </c>
    </row>
    <row r="69" spans="1:23" x14ac:dyDescent="0.2">
      <c r="A69" s="59">
        <v>52</v>
      </c>
      <c r="B69" s="6" t="s">
        <v>76</v>
      </c>
      <c r="C69" s="12" t="s">
        <v>14</v>
      </c>
      <c r="D69" s="34">
        <v>45</v>
      </c>
      <c r="E69" s="35">
        <v>29</v>
      </c>
      <c r="F69" s="23">
        <f t="shared" si="9"/>
        <v>28.13</v>
      </c>
      <c r="G69" s="24">
        <f t="shared" si="9"/>
        <v>27.549999999999997</v>
      </c>
      <c r="H69" s="25">
        <f t="shared" si="9"/>
        <v>27.259999999999998</v>
      </c>
      <c r="J69" s="76">
        <v>45</v>
      </c>
      <c r="K69" s="76">
        <f t="shared" si="4"/>
        <v>45</v>
      </c>
      <c r="L69" s="76">
        <v>29</v>
      </c>
      <c r="M69" s="76">
        <f t="shared" si="5"/>
        <v>29</v>
      </c>
      <c r="N69" s="88">
        <f t="shared" si="6"/>
        <v>0</v>
      </c>
      <c r="O69" s="1" t="s">
        <v>274</v>
      </c>
      <c r="P69" s="1">
        <v>11.6</v>
      </c>
      <c r="Q69" s="1">
        <v>6</v>
      </c>
      <c r="S69" s="1">
        <f t="shared" ref="S69:S132" si="10">SUM(P69:R69)</f>
        <v>17.600000000000001</v>
      </c>
      <c r="T69" s="1">
        <v>0.1</v>
      </c>
      <c r="U69" s="1">
        <f t="shared" ref="U69:U132" si="11">+S69*(1+T69)</f>
        <v>19.360000000000003</v>
      </c>
      <c r="V69" s="1">
        <v>0.44</v>
      </c>
      <c r="W69" s="1">
        <v>0.57999999999999996</v>
      </c>
    </row>
    <row r="70" spans="1:23" x14ac:dyDescent="0.2">
      <c r="A70" s="59">
        <v>53</v>
      </c>
      <c r="B70" s="6" t="s">
        <v>77</v>
      </c>
      <c r="C70" s="12" t="s">
        <v>14</v>
      </c>
      <c r="D70" s="34">
        <v>59</v>
      </c>
      <c r="E70" s="35">
        <v>38</v>
      </c>
      <c r="F70" s="23">
        <f t="shared" si="9"/>
        <v>36.86</v>
      </c>
      <c r="G70" s="24">
        <f t="shared" si="9"/>
        <v>36.1</v>
      </c>
      <c r="H70" s="25">
        <f t="shared" si="9"/>
        <v>35.72</v>
      </c>
      <c r="J70" s="76">
        <v>59</v>
      </c>
      <c r="K70" s="76">
        <f t="shared" ref="K70:K133" si="12">ROUND(+U70*(1+V70)*(1+W70)*(1+$P$1),0)</f>
        <v>59</v>
      </c>
      <c r="L70" s="76">
        <v>38</v>
      </c>
      <c r="M70" s="76">
        <f t="shared" ref="M70:M133" si="13">ROUND(+U70*(1+V70)*(1+$P$1),0)</f>
        <v>38</v>
      </c>
      <c r="N70" s="88">
        <f t="shared" ref="N70:N133" si="14">+J70-K70+L70-M70</f>
        <v>0</v>
      </c>
      <c r="O70" s="1" t="s">
        <v>271</v>
      </c>
      <c r="P70" s="1">
        <v>16.670000000000002</v>
      </c>
      <c r="Q70" s="1">
        <v>7.27</v>
      </c>
      <c r="R70" s="1">
        <v>0.8</v>
      </c>
      <c r="S70" s="1">
        <f t="shared" si="10"/>
        <v>24.740000000000002</v>
      </c>
      <c r="T70" s="1">
        <v>0.1</v>
      </c>
      <c r="U70" s="1">
        <f t="shared" si="11"/>
        <v>27.214000000000006</v>
      </c>
      <c r="V70" s="1">
        <v>0.36</v>
      </c>
      <c r="W70" s="1">
        <v>0.55000000000000004</v>
      </c>
    </row>
    <row r="71" spans="1:23" x14ac:dyDescent="0.2">
      <c r="A71" s="59">
        <v>54</v>
      </c>
      <c r="B71" s="6" t="s">
        <v>78</v>
      </c>
      <c r="C71" s="12" t="s">
        <v>14</v>
      </c>
      <c r="D71" s="34">
        <v>59</v>
      </c>
      <c r="E71" s="35">
        <v>38</v>
      </c>
      <c r="F71" s="23">
        <f t="shared" ref="F71:H74" si="15">$E71*(1-F$1)</f>
        <v>36.86</v>
      </c>
      <c r="G71" s="24">
        <f t="shared" si="15"/>
        <v>36.1</v>
      </c>
      <c r="H71" s="25">
        <f t="shared" si="15"/>
        <v>35.72</v>
      </c>
      <c r="J71" s="76">
        <v>59</v>
      </c>
      <c r="K71" s="76">
        <f t="shared" si="12"/>
        <v>59</v>
      </c>
      <c r="L71" s="76">
        <v>38</v>
      </c>
      <c r="M71" s="76">
        <f t="shared" si="13"/>
        <v>38</v>
      </c>
      <c r="N71" s="88">
        <f t="shared" si="14"/>
        <v>0</v>
      </c>
      <c r="O71" s="1" t="s">
        <v>272</v>
      </c>
      <c r="P71" s="1">
        <v>16.940000000000001</v>
      </c>
      <c r="Q71" s="1">
        <v>7.27</v>
      </c>
      <c r="R71" s="1">
        <v>0.8</v>
      </c>
      <c r="S71" s="1">
        <f t="shared" si="10"/>
        <v>25.01</v>
      </c>
      <c r="T71" s="1">
        <v>0.1</v>
      </c>
      <c r="U71" s="1">
        <f t="shared" si="11"/>
        <v>27.511000000000003</v>
      </c>
      <c r="V71" s="1">
        <v>0.34</v>
      </c>
      <c r="W71" s="1">
        <v>0.55000000000000004</v>
      </c>
    </row>
    <row r="72" spans="1:23" x14ac:dyDescent="0.2">
      <c r="A72" s="59">
        <v>55</v>
      </c>
      <c r="B72" s="6" t="s">
        <v>79</v>
      </c>
      <c r="C72" s="12" t="s">
        <v>14</v>
      </c>
      <c r="D72" s="34">
        <v>45</v>
      </c>
      <c r="E72" s="35">
        <v>26</v>
      </c>
      <c r="F72" s="23">
        <f t="shared" si="15"/>
        <v>25.22</v>
      </c>
      <c r="G72" s="24">
        <f t="shared" si="15"/>
        <v>24.7</v>
      </c>
      <c r="H72" s="25">
        <f t="shared" si="15"/>
        <v>24.439999999999998</v>
      </c>
      <c r="J72" s="76">
        <v>45</v>
      </c>
      <c r="K72" s="76">
        <f t="shared" si="12"/>
        <v>45</v>
      </c>
      <c r="L72" s="76">
        <v>26</v>
      </c>
      <c r="M72" s="76">
        <f t="shared" si="13"/>
        <v>26</v>
      </c>
      <c r="N72" s="88">
        <f t="shared" si="14"/>
        <v>0</v>
      </c>
      <c r="O72" s="1" t="s">
        <v>275</v>
      </c>
      <c r="P72" s="1">
        <v>5.94</v>
      </c>
      <c r="Q72" s="1">
        <v>7.27</v>
      </c>
      <c r="R72" s="1">
        <v>0.8</v>
      </c>
      <c r="S72" s="1">
        <f t="shared" si="10"/>
        <v>14.010000000000002</v>
      </c>
      <c r="T72" s="1">
        <v>0.1</v>
      </c>
      <c r="U72" s="1">
        <f t="shared" si="11"/>
        <v>15.411000000000003</v>
      </c>
      <c r="V72" s="1">
        <v>0.61</v>
      </c>
      <c r="W72" s="1">
        <v>0.78</v>
      </c>
    </row>
    <row r="73" spans="1:23" x14ac:dyDescent="0.2">
      <c r="A73" s="59">
        <v>56</v>
      </c>
      <c r="B73" s="6" t="s">
        <v>80</v>
      </c>
      <c r="C73" s="12" t="s">
        <v>14</v>
      </c>
      <c r="D73" s="34">
        <v>49</v>
      </c>
      <c r="E73" s="35">
        <v>30</v>
      </c>
      <c r="F73" s="23">
        <f t="shared" si="15"/>
        <v>29.099999999999998</v>
      </c>
      <c r="G73" s="24">
        <f t="shared" si="15"/>
        <v>28.5</v>
      </c>
      <c r="H73" s="25">
        <f t="shared" si="15"/>
        <v>28.2</v>
      </c>
      <c r="J73" s="76">
        <v>49</v>
      </c>
      <c r="K73" s="76">
        <f t="shared" si="12"/>
        <v>49</v>
      </c>
      <c r="L73" s="76">
        <v>30</v>
      </c>
      <c r="M73" s="76">
        <f t="shared" si="13"/>
        <v>29</v>
      </c>
      <c r="N73" s="88">
        <f t="shared" si="14"/>
        <v>1</v>
      </c>
      <c r="O73" s="1" t="s">
        <v>273</v>
      </c>
      <c r="P73" s="1">
        <v>11</v>
      </c>
      <c r="Q73" s="1">
        <v>7.27</v>
      </c>
      <c r="R73" s="1">
        <v>0.8</v>
      </c>
      <c r="S73" s="1">
        <f t="shared" si="10"/>
        <v>19.07</v>
      </c>
      <c r="T73" s="1">
        <v>0.1</v>
      </c>
      <c r="U73" s="1">
        <f t="shared" si="11"/>
        <v>20.977</v>
      </c>
      <c r="V73" s="1">
        <v>0.36499999999999999</v>
      </c>
      <c r="W73" s="1">
        <v>0.67</v>
      </c>
    </row>
    <row r="74" spans="1:23" x14ac:dyDescent="0.2">
      <c r="A74" s="60"/>
      <c r="B74" s="7" t="s">
        <v>81</v>
      </c>
      <c r="C74" s="13" t="s">
        <v>14</v>
      </c>
      <c r="D74" s="36">
        <v>80</v>
      </c>
      <c r="E74" s="37">
        <v>54</v>
      </c>
      <c r="F74" s="23">
        <f t="shared" si="15"/>
        <v>52.379999999999995</v>
      </c>
      <c r="G74" s="24">
        <f t="shared" si="15"/>
        <v>51.3</v>
      </c>
      <c r="H74" s="25">
        <f t="shared" si="15"/>
        <v>50.76</v>
      </c>
      <c r="J74" s="77">
        <v>80</v>
      </c>
      <c r="K74" s="76">
        <f t="shared" si="12"/>
        <v>80</v>
      </c>
      <c r="L74" s="77">
        <v>54</v>
      </c>
      <c r="M74" s="76">
        <f t="shared" si="13"/>
        <v>54</v>
      </c>
      <c r="N74" s="88">
        <f t="shared" si="14"/>
        <v>0</v>
      </c>
      <c r="O74" s="1" t="s">
        <v>274</v>
      </c>
      <c r="P74" s="1">
        <v>18.7</v>
      </c>
      <c r="Q74" s="1">
        <v>7</v>
      </c>
      <c r="S74" s="1">
        <f t="shared" si="10"/>
        <v>25.7</v>
      </c>
      <c r="T74" s="1">
        <v>0.1</v>
      </c>
      <c r="U74" s="1">
        <f t="shared" si="11"/>
        <v>28.270000000000003</v>
      </c>
      <c r="V74" s="1">
        <v>0.86</v>
      </c>
      <c r="W74" s="1">
        <v>0.48</v>
      </c>
    </row>
    <row r="75" spans="1:23" x14ac:dyDescent="0.2">
      <c r="A75" s="20"/>
      <c r="B75" s="2" t="s">
        <v>82</v>
      </c>
      <c r="C75" s="14"/>
      <c r="D75" s="48"/>
      <c r="E75" s="48"/>
      <c r="F75" s="48"/>
      <c r="G75" s="48"/>
      <c r="H75" s="48"/>
      <c r="J75" s="78"/>
      <c r="K75" s="76">
        <f t="shared" si="12"/>
        <v>0</v>
      </c>
      <c r="L75" s="78"/>
      <c r="M75" s="76">
        <f t="shared" si="13"/>
        <v>0</v>
      </c>
      <c r="N75" s="88">
        <f t="shared" si="14"/>
        <v>0</v>
      </c>
      <c r="S75" s="1">
        <f t="shared" si="10"/>
        <v>0</v>
      </c>
      <c r="U75" s="1">
        <f t="shared" si="11"/>
        <v>0</v>
      </c>
    </row>
    <row r="76" spans="1:23" x14ac:dyDescent="0.2">
      <c r="A76" s="61">
        <v>57</v>
      </c>
      <c r="B76" s="8" t="s">
        <v>83</v>
      </c>
      <c r="C76" s="15" t="s">
        <v>14</v>
      </c>
      <c r="D76" s="21">
        <v>316</v>
      </c>
      <c r="E76" s="22">
        <v>211</v>
      </c>
      <c r="F76" s="23">
        <f t="shared" ref="F76:H91" si="16">$E76*(1-F$1)</f>
        <v>204.67</v>
      </c>
      <c r="G76" s="24">
        <f t="shared" si="16"/>
        <v>200.45</v>
      </c>
      <c r="H76" s="25">
        <f t="shared" si="16"/>
        <v>198.33999999999997</v>
      </c>
      <c r="J76" s="79">
        <v>316</v>
      </c>
      <c r="K76" s="76">
        <f t="shared" si="12"/>
        <v>316</v>
      </c>
      <c r="L76" s="79">
        <v>211</v>
      </c>
      <c r="M76" s="76">
        <f t="shared" si="13"/>
        <v>211</v>
      </c>
      <c r="N76" s="88">
        <f t="shared" si="14"/>
        <v>0</v>
      </c>
      <c r="O76" s="1" t="s">
        <v>289</v>
      </c>
      <c r="P76" s="1">
        <v>38</v>
      </c>
      <c r="Q76" s="1">
        <v>76</v>
      </c>
      <c r="R76" s="1">
        <v>38.76</v>
      </c>
      <c r="S76" s="1">
        <f t="shared" si="10"/>
        <v>152.76</v>
      </c>
      <c r="T76" s="1">
        <v>0.05</v>
      </c>
      <c r="U76" s="1">
        <f t="shared" si="11"/>
        <v>160.398</v>
      </c>
      <c r="V76" s="1">
        <v>0.27500000000000002</v>
      </c>
      <c r="W76" s="1">
        <v>0.5</v>
      </c>
    </row>
    <row r="77" spans="1:23" x14ac:dyDescent="0.2">
      <c r="A77" s="59">
        <v>58</v>
      </c>
      <c r="B77" s="6" t="s">
        <v>84</v>
      </c>
      <c r="C77" s="12" t="s">
        <v>14</v>
      </c>
      <c r="D77" s="34">
        <v>97</v>
      </c>
      <c r="E77" s="35">
        <v>69</v>
      </c>
      <c r="F77" s="23">
        <f t="shared" si="16"/>
        <v>66.929999999999993</v>
      </c>
      <c r="G77" s="24">
        <f t="shared" si="16"/>
        <v>65.55</v>
      </c>
      <c r="H77" s="25">
        <f t="shared" si="16"/>
        <v>64.86</v>
      </c>
      <c r="J77" s="76">
        <v>97</v>
      </c>
      <c r="K77" s="76">
        <f t="shared" si="12"/>
        <v>97</v>
      </c>
      <c r="L77" s="76">
        <v>69</v>
      </c>
      <c r="M77" s="76">
        <f t="shared" si="13"/>
        <v>69</v>
      </c>
      <c r="N77" s="88">
        <f t="shared" si="14"/>
        <v>0</v>
      </c>
      <c r="O77" s="89" t="s">
        <v>281</v>
      </c>
      <c r="P77" s="1">
        <v>34.75</v>
      </c>
      <c r="Q77" s="1">
        <v>7</v>
      </c>
      <c r="R77" s="1">
        <v>0.35</v>
      </c>
      <c r="S77" s="1">
        <f t="shared" si="10"/>
        <v>42.1</v>
      </c>
      <c r="T77" s="1">
        <v>0.05</v>
      </c>
      <c r="U77" s="1">
        <f t="shared" si="11"/>
        <v>44.205000000000005</v>
      </c>
      <c r="V77" s="1">
        <v>0.52</v>
      </c>
      <c r="W77" s="1">
        <v>0.4</v>
      </c>
    </row>
    <row r="78" spans="1:23" x14ac:dyDescent="0.2">
      <c r="A78" s="59">
        <v>59</v>
      </c>
      <c r="B78" s="6" t="s">
        <v>85</v>
      </c>
      <c r="C78" s="12" t="s">
        <v>14</v>
      </c>
      <c r="D78" s="34">
        <v>121</v>
      </c>
      <c r="E78" s="35">
        <v>88</v>
      </c>
      <c r="F78" s="23">
        <f t="shared" si="16"/>
        <v>85.36</v>
      </c>
      <c r="G78" s="24">
        <f t="shared" si="16"/>
        <v>83.6</v>
      </c>
      <c r="H78" s="25">
        <f t="shared" si="16"/>
        <v>82.72</v>
      </c>
      <c r="J78" s="76">
        <v>121</v>
      </c>
      <c r="K78" s="76">
        <f t="shared" si="12"/>
        <v>120</v>
      </c>
      <c r="L78" s="76">
        <v>88</v>
      </c>
      <c r="M78" s="76">
        <f t="shared" si="13"/>
        <v>88</v>
      </c>
      <c r="N78" s="88">
        <f t="shared" si="14"/>
        <v>1</v>
      </c>
      <c r="O78" s="1" t="s">
        <v>282</v>
      </c>
      <c r="P78" s="1">
        <v>43.45</v>
      </c>
      <c r="Q78" s="1">
        <v>7</v>
      </c>
      <c r="R78" s="1">
        <v>0.35</v>
      </c>
      <c r="S78" s="1">
        <f t="shared" si="10"/>
        <v>50.800000000000004</v>
      </c>
      <c r="T78" s="1">
        <v>0.05</v>
      </c>
      <c r="U78" s="1">
        <f t="shared" si="11"/>
        <v>53.34</v>
      </c>
      <c r="V78" s="1">
        <v>0.6</v>
      </c>
      <c r="W78" s="1">
        <v>0.37</v>
      </c>
    </row>
    <row r="79" spans="1:23" x14ac:dyDescent="0.2">
      <c r="A79" s="59">
        <v>60</v>
      </c>
      <c r="B79" s="6" t="s">
        <v>86</v>
      </c>
      <c r="C79" s="12" t="s">
        <v>14</v>
      </c>
      <c r="D79" s="34">
        <v>148</v>
      </c>
      <c r="E79" s="35">
        <v>118</v>
      </c>
      <c r="F79" s="23">
        <f t="shared" si="16"/>
        <v>114.46</v>
      </c>
      <c r="G79" s="24">
        <f t="shared" si="16"/>
        <v>112.1</v>
      </c>
      <c r="H79" s="25">
        <f t="shared" si="16"/>
        <v>110.91999999999999</v>
      </c>
      <c r="J79" s="76">
        <v>148</v>
      </c>
      <c r="K79" s="76">
        <f t="shared" si="12"/>
        <v>127</v>
      </c>
      <c r="L79" s="76">
        <v>118</v>
      </c>
      <c r="M79" s="76">
        <f t="shared" si="13"/>
        <v>101</v>
      </c>
      <c r="N79" s="91">
        <f t="shared" si="14"/>
        <v>38</v>
      </c>
      <c r="O79" s="1" t="s">
        <v>283</v>
      </c>
      <c r="P79" s="1">
        <v>35</v>
      </c>
      <c r="Q79" s="1">
        <v>7</v>
      </c>
      <c r="S79" s="1">
        <f t="shared" si="10"/>
        <v>42</v>
      </c>
      <c r="T79" s="1">
        <v>0.05</v>
      </c>
      <c r="U79" s="1">
        <f t="shared" si="11"/>
        <v>44.1</v>
      </c>
      <c r="V79" s="1">
        <v>1.23</v>
      </c>
      <c r="W79" s="1">
        <v>0.255</v>
      </c>
    </row>
    <row r="80" spans="1:23" x14ac:dyDescent="0.2">
      <c r="A80" s="59">
        <v>61</v>
      </c>
      <c r="B80" s="6" t="s">
        <v>87</v>
      </c>
      <c r="C80" s="12" t="s">
        <v>14</v>
      </c>
      <c r="D80" s="34">
        <v>289</v>
      </c>
      <c r="E80" s="35">
        <v>206</v>
      </c>
      <c r="F80" s="23">
        <f t="shared" si="16"/>
        <v>199.82</v>
      </c>
      <c r="G80" s="24">
        <f t="shared" si="16"/>
        <v>195.7</v>
      </c>
      <c r="H80" s="25">
        <f t="shared" si="16"/>
        <v>193.64</v>
      </c>
      <c r="J80" s="76">
        <v>289</v>
      </c>
      <c r="K80" s="76">
        <f t="shared" si="12"/>
        <v>288</v>
      </c>
      <c r="L80" s="76">
        <v>206</v>
      </c>
      <c r="M80" s="76">
        <f t="shared" si="13"/>
        <v>206</v>
      </c>
      <c r="N80" s="88">
        <f t="shared" si="14"/>
        <v>1</v>
      </c>
      <c r="O80" s="1" t="s">
        <v>277</v>
      </c>
      <c r="P80" s="1">
        <v>130</v>
      </c>
      <c r="S80" s="1">
        <f t="shared" si="10"/>
        <v>130</v>
      </c>
      <c r="T80" s="1">
        <v>0.05</v>
      </c>
      <c r="U80" s="1">
        <f t="shared" si="11"/>
        <v>136.5</v>
      </c>
      <c r="V80" s="1">
        <v>0.46500000000000002</v>
      </c>
      <c r="W80" s="1">
        <v>0.4</v>
      </c>
    </row>
    <row r="81" spans="1:23" x14ac:dyDescent="0.2">
      <c r="A81" s="59">
        <v>62</v>
      </c>
      <c r="B81" s="6" t="s">
        <v>89</v>
      </c>
      <c r="C81" s="12" t="s">
        <v>14</v>
      </c>
      <c r="D81" s="34">
        <v>157</v>
      </c>
      <c r="E81" s="35">
        <v>105</v>
      </c>
      <c r="F81" s="23">
        <f t="shared" si="16"/>
        <v>101.85</v>
      </c>
      <c r="G81" s="24">
        <f t="shared" si="16"/>
        <v>99.75</v>
      </c>
      <c r="H81" s="25">
        <f t="shared" si="16"/>
        <v>98.699999999999989</v>
      </c>
      <c r="J81" s="76">
        <v>157</v>
      </c>
      <c r="K81" s="76">
        <f t="shared" si="12"/>
        <v>157</v>
      </c>
      <c r="L81" s="76">
        <v>105</v>
      </c>
      <c r="M81" s="76">
        <f t="shared" si="13"/>
        <v>104</v>
      </c>
      <c r="N81" s="88">
        <f t="shared" si="14"/>
        <v>1</v>
      </c>
      <c r="O81" s="1" t="s">
        <v>288</v>
      </c>
      <c r="P81" s="1">
        <v>58</v>
      </c>
      <c r="S81" s="1">
        <f t="shared" si="10"/>
        <v>58</v>
      </c>
      <c r="T81" s="1">
        <v>0.05</v>
      </c>
      <c r="U81" s="1">
        <f t="shared" si="11"/>
        <v>60.900000000000006</v>
      </c>
      <c r="V81" s="1">
        <v>0.66500000000000004</v>
      </c>
      <c r="W81" s="1">
        <v>0.5</v>
      </c>
    </row>
    <row r="82" spans="1:23" x14ac:dyDescent="0.2">
      <c r="A82" s="59">
        <v>63</v>
      </c>
      <c r="B82" s="6" t="s">
        <v>91</v>
      </c>
      <c r="C82" s="12" t="s">
        <v>14</v>
      </c>
      <c r="D82" s="34">
        <v>229</v>
      </c>
      <c r="E82" s="35">
        <v>164</v>
      </c>
      <c r="F82" s="23">
        <f t="shared" si="16"/>
        <v>159.07999999999998</v>
      </c>
      <c r="G82" s="24">
        <f t="shared" si="16"/>
        <v>155.79999999999998</v>
      </c>
      <c r="H82" s="25">
        <f t="shared" si="16"/>
        <v>154.16</v>
      </c>
      <c r="J82" s="76">
        <v>229</v>
      </c>
      <c r="K82" s="76">
        <f t="shared" si="12"/>
        <v>229</v>
      </c>
      <c r="L82" s="76">
        <v>164</v>
      </c>
      <c r="M82" s="76">
        <f t="shared" si="13"/>
        <v>164</v>
      </c>
      <c r="N82" s="88">
        <f t="shared" si="14"/>
        <v>0</v>
      </c>
      <c r="O82" s="1" t="s">
        <v>287</v>
      </c>
      <c r="P82" s="1">
        <v>30</v>
      </c>
      <c r="Q82" s="1">
        <v>45</v>
      </c>
      <c r="R82" s="1">
        <v>22.95</v>
      </c>
      <c r="S82" s="1">
        <f t="shared" si="10"/>
        <v>97.95</v>
      </c>
      <c r="T82" s="1">
        <v>0.05</v>
      </c>
      <c r="U82" s="1">
        <f t="shared" si="11"/>
        <v>102.84750000000001</v>
      </c>
      <c r="V82" s="1">
        <v>0.54500000000000004</v>
      </c>
      <c r="W82" s="1">
        <v>0.4</v>
      </c>
    </row>
    <row r="83" spans="1:23" x14ac:dyDescent="0.2">
      <c r="A83" s="59">
        <v>64</v>
      </c>
      <c r="B83" s="6" t="s">
        <v>90</v>
      </c>
      <c r="C83" s="12" t="s">
        <v>14</v>
      </c>
      <c r="D83" s="34">
        <v>177</v>
      </c>
      <c r="E83" s="35">
        <v>127</v>
      </c>
      <c r="F83" s="23">
        <f t="shared" si="16"/>
        <v>123.19</v>
      </c>
      <c r="G83" s="24">
        <f t="shared" si="16"/>
        <v>120.64999999999999</v>
      </c>
      <c r="H83" s="25">
        <f t="shared" si="16"/>
        <v>119.38</v>
      </c>
      <c r="J83" s="76">
        <v>177</v>
      </c>
      <c r="K83" s="76">
        <f t="shared" si="12"/>
        <v>177</v>
      </c>
      <c r="L83" s="76">
        <v>127</v>
      </c>
      <c r="M83" s="76">
        <f t="shared" si="13"/>
        <v>127</v>
      </c>
      <c r="N83" s="88">
        <f t="shared" si="14"/>
        <v>0</v>
      </c>
      <c r="O83" s="1" t="s">
        <v>287</v>
      </c>
      <c r="P83" s="1">
        <v>17</v>
      </c>
      <c r="Q83" s="1">
        <v>45</v>
      </c>
      <c r="R83" s="1">
        <v>22.95</v>
      </c>
      <c r="S83" s="1">
        <f t="shared" si="10"/>
        <v>84.95</v>
      </c>
      <c r="T83" s="1">
        <v>0.05</v>
      </c>
      <c r="U83" s="1">
        <f t="shared" si="11"/>
        <v>89.197500000000005</v>
      </c>
      <c r="V83" s="1">
        <v>0.378</v>
      </c>
      <c r="W83" s="1">
        <v>0.4</v>
      </c>
    </row>
    <row r="84" spans="1:23" x14ac:dyDescent="0.2">
      <c r="A84" s="59">
        <v>65</v>
      </c>
      <c r="B84" s="6" t="s">
        <v>88</v>
      </c>
      <c r="C84" s="12" t="s">
        <v>14</v>
      </c>
      <c r="D84" s="34">
        <v>226</v>
      </c>
      <c r="E84" s="35">
        <v>151</v>
      </c>
      <c r="F84" s="23">
        <f t="shared" si="16"/>
        <v>146.47</v>
      </c>
      <c r="G84" s="24">
        <f t="shared" si="16"/>
        <v>143.44999999999999</v>
      </c>
      <c r="H84" s="25">
        <f t="shared" si="16"/>
        <v>141.94</v>
      </c>
      <c r="J84" s="76">
        <v>226</v>
      </c>
      <c r="K84" s="76">
        <f t="shared" si="12"/>
        <v>226</v>
      </c>
      <c r="L84" s="76">
        <v>151</v>
      </c>
      <c r="M84" s="76">
        <f t="shared" si="13"/>
        <v>151</v>
      </c>
      <c r="N84" s="88">
        <f t="shared" si="14"/>
        <v>0</v>
      </c>
      <c r="O84" s="1" t="s">
        <v>290</v>
      </c>
      <c r="P84" s="1">
        <v>102.75</v>
      </c>
      <c r="S84" s="1">
        <f t="shared" si="10"/>
        <v>102.75</v>
      </c>
      <c r="T84" s="1">
        <v>0.1</v>
      </c>
      <c r="U84" s="1">
        <f t="shared" si="11"/>
        <v>113.02500000000001</v>
      </c>
      <c r="V84" s="1">
        <v>0.29499999999999998</v>
      </c>
      <c r="W84" s="1">
        <v>0.5</v>
      </c>
    </row>
    <row r="85" spans="1:23" x14ac:dyDescent="0.2">
      <c r="A85" s="59">
        <v>66</v>
      </c>
      <c r="B85" s="6" t="s">
        <v>92</v>
      </c>
      <c r="C85" s="12" t="s">
        <v>14</v>
      </c>
      <c r="D85" s="34">
        <v>211</v>
      </c>
      <c r="E85" s="35">
        <v>141</v>
      </c>
      <c r="F85" s="23">
        <f t="shared" si="16"/>
        <v>136.77000000000001</v>
      </c>
      <c r="G85" s="24">
        <f t="shared" si="16"/>
        <v>133.94999999999999</v>
      </c>
      <c r="H85" s="25">
        <f t="shared" si="16"/>
        <v>132.54</v>
      </c>
      <c r="J85" s="76">
        <v>211</v>
      </c>
      <c r="K85" s="76">
        <f t="shared" si="12"/>
        <v>211</v>
      </c>
      <c r="L85" s="76">
        <v>141</v>
      </c>
      <c r="M85" s="76">
        <f t="shared" si="13"/>
        <v>141</v>
      </c>
      <c r="N85" s="88">
        <f t="shared" si="14"/>
        <v>0</v>
      </c>
      <c r="O85" s="1" t="s">
        <v>286</v>
      </c>
      <c r="P85" s="1">
        <v>34</v>
      </c>
      <c r="Q85" s="1">
        <v>30</v>
      </c>
      <c r="R85" s="1">
        <v>15.3</v>
      </c>
      <c r="S85" s="1">
        <f t="shared" si="10"/>
        <v>79.3</v>
      </c>
      <c r="T85" s="1">
        <v>0.05</v>
      </c>
      <c r="U85" s="1">
        <f t="shared" si="11"/>
        <v>83.265000000000001</v>
      </c>
      <c r="V85" s="1">
        <v>0.64</v>
      </c>
      <c r="W85" s="1">
        <v>0.5</v>
      </c>
    </row>
    <row r="86" spans="1:23" x14ac:dyDescent="0.2">
      <c r="A86" s="59">
        <v>67</v>
      </c>
      <c r="B86" s="6" t="s">
        <v>93</v>
      </c>
      <c r="C86" s="12" t="s">
        <v>14</v>
      </c>
      <c r="D86" s="34">
        <v>271</v>
      </c>
      <c r="E86" s="35">
        <v>181</v>
      </c>
      <c r="F86" s="23">
        <f t="shared" si="16"/>
        <v>175.57</v>
      </c>
      <c r="G86" s="24">
        <f t="shared" si="16"/>
        <v>171.95</v>
      </c>
      <c r="H86" s="25">
        <f t="shared" si="16"/>
        <v>170.14</v>
      </c>
      <c r="J86" s="76">
        <v>271</v>
      </c>
      <c r="K86" s="76">
        <f t="shared" si="12"/>
        <v>271</v>
      </c>
      <c r="L86" s="76">
        <v>181</v>
      </c>
      <c r="M86" s="76">
        <f t="shared" si="13"/>
        <v>181</v>
      </c>
      <c r="N86" s="88">
        <f t="shared" si="14"/>
        <v>0</v>
      </c>
      <c r="O86" s="1" t="s">
        <v>285</v>
      </c>
      <c r="P86" s="1">
        <v>72</v>
      </c>
      <c r="Q86" s="1">
        <v>30</v>
      </c>
      <c r="R86" s="1">
        <v>15.3</v>
      </c>
      <c r="S86" s="1">
        <f t="shared" si="10"/>
        <v>117.3</v>
      </c>
      <c r="T86" s="1">
        <v>0.05</v>
      </c>
      <c r="U86" s="1">
        <f t="shared" si="11"/>
        <v>123.16500000000001</v>
      </c>
      <c r="V86" s="1">
        <v>0.42499999999999999</v>
      </c>
      <c r="W86" s="1">
        <v>0.5</v>
      </c>
    </row>
    <row r="87" spans="1:23" x14ac:dyDescent="0.2">
      <c r="A87" s="59">
        <v>68</v>
      </c>
      <c r="B87" s="6" t="s">
        <v>94</v>
      </c>
      <c r="C87" s="12" t="s">
        <v>14</v>
      </c>
      <c r="D87" s="34">
        <v>262</v>
      </c>
      <c r="E87" s="35">
        <v>181</v>
      </c>
      <c r="F87" s="23">
        <f t="shared" si="16"/>
        <v>175.57</v>
      </c>
      <c r="G87" s="24">
        <f t="shared" si="16"/>
        <v>171.95</v>
      </c>
      <c r="H87" s="25">
        <f t="shared" si="16"/>
        <v>170.14</v>
      </c>
      <c r="J87" s="76">
        <v>262</v>
      </c>
      <c r="K87" s="76">
        <f t="shared" si="12"/>
        <v>262</v>
      </c>
      <c r="L87" s="76">
        <v>181</v>
      </c>
      <c r="M87" s="76">
        <f t="shared" si="13"/>
        <v>181</v>
      </c>
      <c r="N87" s="88">
        <f t="shared" si="14"/>
        <v>0</v>
      </c>
      <c r="O87" s="1" t="s">
        <v>284</v>
      </c>
      <c r="P87" s="1">
        <v>40.700000000000003</v>
      </c>
      <c r="Q87" s="1">
        <v>42</v>
      </c>
      <c r="R87" s="1">
        <v>21.42</v>
      </c>
      <c r="S87" s="1">
        <f t="shared" si="10"/>
        <v>104.12</v>
      </c>
      <c r="T87" s="1">
        <v>0.05</v>
      </c>
      <c r="U87" s="1">
        <f t="shared" si="11"/>
        <v>109.32600000000001</v>
      </c>
      <c r="V87" s="1">
        <v>0.60499999999999998</v>
      </c>
      <c r="W87" s="1">
        <v>0.45</v>
      </c>
    </row>
    <row r="88" spans="1:23" x14ac:dyDescent="0.2">
      <c r="A88" s="59">
        <v>69</v>
      </c>
      <c r="B88" s="6" t="s">
        <v>228</v>
      </c>
      <c r="C88" s="12" t="s">
        <v>14</v>
      </c>
      <c r="D88" s="34">
        <v>262</v>
      </c>
      <c r="E88" s="35">
        <v>181</v>
      </c>
      <c r="F88" s="23">
        <f t="shared" si="16"/>
        <v>175.57</v>
      </c>
      <c r="G88" s="24">
        <f t="shared" si="16"/>
        <v>171.95</v>
      </c>
      <c r="H88" s="25">
        <f t="shared" si="16"/>
        <v>170.14</v>
      </c>
      <c r="J88" s="76">
        <v>262</v>
      </c>
      <c r="K88" s="76">
        <f t="shared" si="12"/>
        <v>262</v>
      </c>
      <c r="L88" s="76">
        <v>181</v>
      </c>
      <c r="M88" s="76">
        <f t="shared" si="13"/>
        <v>181</v>
      </c>
      <c r="N88" s="88">
        <f t="shared" si="14"/>
        <v>0</v>
      </c>
      <c r="O88" s="1" t="s">
        <v>284</v>
      </c>
      <c r="P88" s="1">
        <v>40.700000000000003</v>
      </c>
      <c r="Q88" s="1">
        <v>42</v>
      </c>
      <c r="R88" s="1">
        <v>21.42</v>
      </c>
      <c r="S88" s="1">
        <f t="shared" si="10"/>
        <v>104.12</v>
      </c>
      <c r="T88" s="1">
        <v>0.05</v>
      </c>
      <c r="U88" s="1">
        <f t="shared" si="11"/>
        <v>109.32600000000001</v>
      </c>
      <c r="V88" s="1">
        <v>0.60499999999999998</v>
      </c>
      <c r="W88" s="1">
        <v>0.45</v>
      </c>
    </row>
    <row r="89" spans="1:23" x14ac:dyDescent="0.2">
      <c r="A89" s="59">
        <v>70</v>
      </c>
      <c r="B89" s="6" t="s">
        <v>95</v>
      </c>
      <c r="C89" s="12" t="s">
        <v>14</v>
      </c>
      <c r="D89" s="34">
        <v>268</v>
      </c>
      <c r="E89" s="35">
        <v>181</v>
      </c>
      <c r="F89" s="23">
        <f t="shared" si="16"/>
        <v>175.57</v>
      </c>
      <c r="G89" s="24">
        <f t="shared" si="16"/>
        <v>171.95</v>
      </c>
      <c r="H89" s="25">
        <f t="shared" si="16"/>
        <v>170.14</v>
      </c>
      <c r="J89" s="76">
        <v>268</v>
      </c>
      <c r="K89" s="76">
        <f t="shared" si="12"/>
        <v>272</v>
      </c>
      <c r="L89" s="76">
        <v>181</v>
      </c>
      <c r="M89" s="76">
        <f t="shared" si="13"/>
        <v>184</v>
      </c>
      <c r="N89" s="91">
        <f t="shared" si="14"/>
        <v>-7</v>
      </c>
      <c r="O89" s="1" t="s">
        <v>280</v>
      </c>
      <c r="P89" s="1">
        <v>26.5</v>
      </c>
      <c r="Q89" s="1">
        <v>70</v>
      </c>
      <c r="R89" s="1">
        <f>+Q89*0.51</f>
        <v>35.700000000000003</v>
      </c>
      <c r="S89" s="1">
        <f t="shared" si="10"/>
        <v>132.19999999999999</v>
      </c>
      <c r="T89" s="1">
        <v>0.05</v>
      </c>
      <c r="U89" s="1">
        <f t="shared" si="11"/>
        <v>138.81</v>
      </c>
      <c r="V89" s="1">
        <v>0.28499999999999998</v>
      </c>
      <c r="W89" s="1">
        <v>0.48</v>
      </c>
    </row>
    <row r="90" spans="1:23" x14ac:dyDescent="0.2">
      <c r="A90" s="59">
        <v>71</v>
      </c>
      <c r="B90" s="6" t="s">
        <v>96</v>
      </c>
      <c r="C90" s="12" t="s">
        <v>14</v>
      </c>
      <c r="D90" s="34">
        <v>277</v>
      </c>
      <c r="E90" s="35">
        <v>185</v>
      </c>
      <c r="F90" s="23">
        <f t="shared" si="16"/>
        <v>179.45</v>
      </c>
      <c r="G90" s="24">
        <f t="shared" si="16"/>
        <v>175.75</v>
      </c>
      <c r="H90" s="25">
        <f t="shared" si="16"/>
        <v>173.89999999999998</v>
      </c>
      <c r="J90" s="76">
        <v>277</v>
      </c>
      <c r="K90" s="76">
        <f t="shared" si="12"/>
        <v>281</v>
      </c>
      <c r="L90" s="76">
        <v>185</v>
      </c>
      <c r="M90" s="76">
        <f t="shared" si="13"/>
        <v>187</v>
      </c>
      <c r="N90" s="91">
        <f t="shared" si="14"/>
        <v>-6</v>
      </c>
      <c r="O90" s="1" t="s">
        <v>278</v>
      </c>
      <c r="P90" s="1">
        <v>29</v>
      </c>
      <c r="Q90" s="1">
        <v>70</v>
      </c>
      <c r="R90" s="1">
        <f>+Q90*0.51</f>
        <v>35.700000000000003</v>
      </c>
      <c r="S90" s="1">
        <f t="shared" si="10"/>
        <v>134.69999999999999</v>
      </c>
      <c r="T90" s="1">
        <v>0.05</v>
      </c>
      <c r="U90" s="1">
        <f t="shared" si="11"/>
        <v>141.435</v>
      </c>
      <c r="V90" s="1">
        <v>0.28499999999999998</v>
      </c>
      <c r="W90" s="1">
        <v>0.5</v>
      </c>
    </row>
    <row r="91" spans="1:23" x14ac:dyDescent="0.2">
      <c r="A91" s="60">
        <v>72</v>
      </c>
      <c r="B91" s="7" t="s">
        <v>97</v>
      </c>
      <c r="C91" s="13" t="s">
        <v>14</v>
      </c>
      <c r="D91" s="36">
        <v>284</v>
      </c>
      <c r="E91" s="37">
        <v>190</v>
      </c>
      <c r="F91" s="23">
        <f t="shared" si="16"/>
        <v>184.29999999999998</v>
      </c>
      <c r="G91" s="24">
        <f t="shared" si="16"/>
        <v>180.5</v>
      </c>
      <c r="H91" s="25">
        <f t="shared" si="16"/>
        <v>178.6</v>
      </c>
      <c r="J91" s="77">
        <v>284</v>
      </c>
      <c r="K91" s="76">
        <f t="shared" si="12"/>
        <v>289</v>
      </c>
      <c r="L91" s="77">
        <v>190</v>
      </c>
      <c r="M91" s="76">
        <f t="shared" si="13"/>
        <v>192</v>
      </c>
      <c r="N91" s="91">
        <f t="shared" si="14"/>
        <v>-7</v>
      </c>
      <c r="O91" s="89" t="s">
        <v>279</v>
      </c>
      <c r="P91" s="1">
        <v>32.5</v>
      </c>
      <c r="Q91" s="1">
        <v>70</v>
      </c>
      <c r="R91" s="1">
        <f>+Q91*0.51</f>
        <v>35.700000000000003</v>
      </c>
      <c r="S91" s="1">
        <f t="shared" si="10"/>
        <v>138.19999999999999</v>
      </c>
      <c r="T91" s="1">
        <v>0.05</v>
      </c>
      <c r="U91" s="1">
        <f t="shared" si="11"/>
        <v>145.10999999999999</v>
      </c>
      <c r="V91" s="1">
        <v>0.28699999999999998</v>
      </c>
      <c r="W91" s="1">
        <v>0.5</v>
      </c>
    </row>
    <row r="92" spans="1:23" x14ac:dyDescent="0.2">
      <c r="A92" s="20"/>
      <c r="B92" s="2" t="s">
        <v>227</v>
      </c>
      <c r="C92" s="14"/>
      <c r="D92" s="48"/>
      <c r="E92" s="48"/>
      <c r="F92" s="48"/>
      <c r="G92" s="48"/>
      <c r="H92" s="48"/>
      <c r="J92" s="78"/>
      <c r="K92" s="76">
        <f t="shared" si="12"/>
        <v>0</v>
      </c>
      <c r="L92" s="78"/>
      <c r="M92" s="76">
        <f t="shared" si="13"/>
        <v>0</v>
      </c>
      <c r="N92" s="88">
        <f t="shared" si="14"/>
        <v>0</v>
      </c>
      <c r="S92" s="1">
        <f t="shared" si="10"/>
        <v>0</v>
      </c>
      <c r="U92" s="1">
        <f t="shared" si="11"/>
        <v>0</v>
      </c>
    </row>
    <row r="93" spans="1:23" x14ac:dyDescent="0.2">
      <c r="A93" s="61">
        <v>100</v>
      </c>
      <c r="B93" s="8" t="s">
        <v>98</v>
      </c>
      <c r="C93" s="15" t="s">
        <v>188</v>
      </c>
      <c r="D93" s="21">
        <v>35.020000000000003</v>
      </c>
      <c r="E93" s="22">
        <v>29.18</v>
      </c>
      <c r="F93" s="23">
        <f t="shared" ref="F93:H100" si="17">$E93*(1-F$1)</f>
        <v>28.304600000000001</v>
      </c>
      <c r="G93" s="24">
        <f t="shared" si="17"/>
        <v>27.721</v>
      </c>
      <c r="H93" s="25">
        <f t="shared" si="17"/>
        <v>27.429199999999998</v>
      </c>
      <c r="J93" s="79">
        <v>35.020000000000003</v>
      </c>
      <c r="K93" s="76">
        <f t="shared" si="12"/>
        <v>0</v>
      </c>
      <c r="L93" s="79">
        <v>29.18</v>
      </c>
      <c r="M93" s="76">
        <f t="shared" si="13"/>
        <v>0</v>
      </c>
      <c r="N93" s="88">
        <f t="shared" si="14"/>
        <v>64.2</v>
      </c>
      <c r="P93" s="92"/>
      <c r="Q93" s="92"/>
      <c r="R93" s="92"/>
      <c r="S93" s="92">
        <f t="shared" si="10"/>
        <v>0</v>
      </c>
      <c r="U93" s="1">
        <f t="shared" si="11"/>
        <v>0</v>
      </c>
    </row>
    <row r="94" spans="1:23" x14ac:dyDescent="0.2">
      <c r="A94" s="59">
        <v>101</v>
      </c>
      <c r="B94" s="6" t="s">
        <v>99</v>
      </c>
      <c r="C94" s="12" t="s">
        <v>188</v>
      </c>
      <c r="D94" s="34">
        <v>34.200000000000003</v>
      </c>
      <c r="E94" s="35">
        <v>28.5</v>
      </c>
      <c r="F94" s="23">
        <f t="shared" si="17"/>
        <v>27.645</v>
      </c>
      <c r="G94" s="24">
        <f t="shared" si="17"/>
        <v>27.074999999999999</v>
      </c>
      <c r="H94" s="25">
        <f t="shared" si="17"/>
        <v>26.79</v>
      </c>
      <c r="J94" s="76">
        <v>34.200000000000003</v>
      </c>
      <c r="K94" s="76">
        <f t="shared" si="12"/>
        <v>0</v>
      </c>
      <c r="L94" s="76">
        <v>28.5</v>
      </c>
      <c r="M94" s="76">
        <f t="shared" si="13"/>
        <v>0</v>
      </c>
      <c r="N94" s="88">
        <f t="shared" si="14"/>
        <v>62.7</v>
      </c>
      <c r="P94" s="92"/>
      <c r="Q94" s="92"/>
      <c r="R94" s="92"/>
      <c r="S94" s="92">
        <f t="shared" si="10"/>
        <v>0</v>
      </c>
      <c r="U94" s="1">
        <f t="shared" si="11"/>
        <v>0</v>
      </c>
    </row>
    <row r="95" spans="1:23" x14ac:dyDescent="0.2">
      <c r="A95" s="59">
        <v>102</v>
      </c>
      <c r="B95" s="6" t="s">
        <v>100</v>
      </c>
      <c r="C95" s="12" t="s">
        <v>188</v>
      </c>
      <c r="D95" s="34">
        <v>94.6</v>
      </c>
      <c r="E95" s="35">
        <v>78.84</v>
      </c>
      <c r="F95" s="23">
        <f t="shared" si="17"/>
        <v>76.474800000000002</v>
      </c>
      <c r="G95" s="24">
        <f t="shared" si="17"/>
        <v>74.897999999999996</v>
      </c>
      <c r="H95" s="25">
        <f t="shared" si="17"/>
        <v>74.1096</v>
      </c>
      <c r="J95" s="76">
        <v>94.6</v>
      </c>
      <c r="K95" s="76">
        <f t="shared" si="12"/>
        <v>0</v>
      </c>
      <c r="L95" s="76">
        <v>78.84</v>
      </c>
      <c r="M95" s="76">
        <f t="shared" si="13"/>
        <v>0</v>
      </c>
      <c r="N95" s="88">
        <f t="shared" si="14"/>
        <v>173.44</v>
      </c>
      <c r="P95" s="92"/>
      <c r="Q95" s="92"/>
      <c r="R95" s="92"/>
      <c r="S95" s="92">
        <f t="shared" si="10"/>
        <v>0</v>
      </c>
      <c r="U95" s="1">
        <f t="shared" si="11"/>
        <v>0</v>
      </c>
    </row>
    <row r="96" spans="1:23" x14ac:dyDescent="0.2">
      <c r="A96" s="59">
        <v>103</v>
      </c>
      <c r="B96" s="6" t="s">
        <v>102</v>
      </c>
      <c r="C96" s="12" t="s">
        <v>188</v>
      </c>
      <c r="D96" s="34">
        <v>160.15</v>
      </c>
      <c r="E96" s="35">
        <v>133.46</v>
      </c>
      <c r="F96" s="23">
        <f t="shared" si="17"/>
        <v>129.4562</v>
      </c>
      <c r="G96" s="24">
        <f t="shared" si="17"/>
        <v>126.78700000000001</v>
      </c>
      <c r="H96" s="25">
        <f t="shared" si="17"/>
        <v>125.4524</v>
      </c>
      <c r="J96" s="76">
        <v>160.15</v>
      </c>
      <c r="K96" s="76">
        <f t="shared" si="12"/>
        <v>0</v>
      </c>
      <c r="L96" s="76">
        <v>133.46</v>
      </c>
      <c r="M96" s="76">
        <f t="shared" si="13"/>
        <v>0</v>
      </c>
      <c r="N96" s="88">
        <f t="shared" si="14"/>
        <v>293.61</v>
      </c>
      <c r="P96" s="92"/>
      <c r="Q96" s="92"/>
      <c r="R96" s="92"/>
      <c r="S96" s="92">
        <f t="shared" si="10"/>
        <v>0</v>
      </c>
      <c r="U96" s="1">
        <f t="shared" si="11"/>
        <v>0</v>
      </c>
    </row>
    <row r="97" spans="1:21" x14ac:dyDescent="0.2">
      <c r="A97" s="59">
        <v>104</v>
      </c>
      <c r="B97" s="6" t="s">
        <v>101</v>
      </c>
      <c r="C97" s="12" t="s">
        <v>188</v>
      </c>
      <c r="D97" s="34">
        <v>279.63</v>
      </c>
      <c r="E97" s="35">
        <v>233.02</v>
      </c>
      <c r="F97" s="23">
        <f t="shared" si="17"/>
        <v>226.02940000000001</v>
      </c>
      <c r="G97" s="24">
        <f t="shared" si="17"/>
        <v>221.369</v>
      </c>
      <c r="H97" s="25">
        <f t="shared" si="17"/>
        <v>219.03880000000001</v>
      </c>
      <c r="J97" s="76">
        <v>279.63</v>
      </c>
      <c r="K97" s="76">
        <f t="shared" si="12"/>
        <v>0</v>
      </c>
      <c r="L97" s="76">
        <v>233.02</v>
      </c>
      <c r="M97" s="76">
        <f t="shared" si="13"/>
        <v>0</v>
      </c>
      <c r="N97" s="88">
        <f t="shared" si="14"/>
        <v>512.65</v>
      </c>
      <c r="P97" s="92"/>
      <c r="Q97" s="92"/>
      <c r="R97" s="92"/>
      <c r="S97" s="92">
        <f t="shared" si="10"/>
        <v>0</v>
      </c>
      <c r="U97" s="1">
        <f t="shared" si="11"/>
        <v>0</v>
      </c>
    </row>
    <row r="98" spans="1:21" x14ac:dyDescent="0.2">
      <c r="A98" s="59">
        <v>105</v>
      </c>
      <c r="B98" s="6" t="s">
        <v>103</v>
      </c>
      <c r="C98" s="12" t="s">
        <v>188</v>
      </c>
      <c r="D98" s="34">
        <v>2.15</v>
      </c>
      <c r="E98" s="35">
        <v>1.79</v>
      </c>
      <c r="F98" s="23">
        <f t="shared" si="17"/>
        <v>1.7363</v>
      </c>
      <c r="G98" s="24">
        <f t="shared" si="17"/>
        <v>1.7004999999999999</v>
      </c>
      <c r="H98" s="25">
        <f t="shared" si="17"/>
        <v>1.6825999999999999</v>
      </c>
      <c r="J98" s="76">
        <v>2.15</v>
      </c>
      <c r="K98" s="76">
        <f t="shared" si="12"/>
        <v>0</v>
      </c>
      <c r="L98" s="76">
        <v>1.79</v>
      </c>
      <c r="M98" s="76">
        <f t="shared" si="13"/>
        <v>0</v>
      </c>
      <c r="N98" s="88">
        <f t="shared" si="14"/>
        <v>3.94</v>
      </c>
      <c r="P98" s="92"/>
      <c r="Q98" s="92"/>
      <c r="R98" s="92"/>
      <c r="S98" s="92">
        <f t="shared" si="10"/>
        <v>0</v>
      </c>
      <c r="U98" s="1">
        <f t="shared" si="11"/>
        <v>0</v>
      </c>
    </row>
    <row r="99" spans="1:21" x14ac:dyDescent="0.2">
      <c r="A99" s="59">
        <v>106</v>
      </c>
      <c r="B99" s="6" t="s">
        <v>104</v>
      </c>
      <c r="C99" s="12" t="s">
        <v>188</v>
      </c>
      <c r="D99" s="34">
        <v>5.85</v>
      </c>
      <c r="E99" s="35">
        <v>4.88</v>
      </c>
      <c r="F99" s="23">
        <f t="shared" si="17"/>
        <v>4.7336</v>
      </c>
      <c r="G99" s="24">
        <f t="shared" si="17"/>
        <v>4.6360000000000001</v>
      </c>
      <c r="H99" s="25">
        <f t="shared" si="17"/>
        <v>4.5871999999999993</v>
      </c>
      <c r="J99" s="76">
        <v>5.85</v>
      </c>
      <c r="K99" s="76">
        <f t="shared" si="12"/>
        <v>0</v>
      </c>
      <c r="L99" s="76">
        <v>4.88</v>
      </c>
      <c r="M99" s="76">
        <f t="shared" si="13"/>
        <v>0</v>
      </c>
      <c r="N99" s="88">
        <f t="shared" si="14"/>
        <v>10.73</v>
      </c>
      <c r="P99" s="92"/>
      <c r="Q99" s="92"/>
      <c r="R99" s="92"/>
      <c r="S99" s="92">
        <f t="shared" si="10"/>
        <v>0</v>
      </c>
      <c r="U99" s="1">
        <f t="shared" si="11"/>
        <v>0</v>
      </c>
    </row>
    <row r="100" spans="1:21" x14ac:dyDescent="0.2">
      <c r="A100" s="60">
        <v>107</v>
      </c>
      <c r="B100" s="7" t="s">
        <v>105</v>
      </c>
      <c r="C100" s="13" t="s">
        <v>188</v>
      </c>
      <c r="D100" s="36">
        <v>5.85</v>
      </c>
      <c r="E100" s="37">
        <v>4.88</v>
      </c>
      <c r="F100" s="23">
        <f t="shared" si="17"/>
        <v>4.7336</v>
      </c>
      <c r="G100" s="24">
        <f t="shared" si="17"/>
        <v>4.6360000000000001</v>
      </c>
      <c r="H100" s="25">
        <f t="shared" si="17"/>
        <v>4.5871999999999993</v>
      </c>
      <c r="J100" s="77">
        <v>5.85</v>
      </c>
      <c r="K100" s="76">
        <f t="shared" si="12"/>
        <v>0</v>
      </c>
      <c r="L100" s="77">
        <v>4.88</v>
      </c>
      <c r="M100" s="76">
        <f t="shared" si="13"/>
        <v>0</v>
      </c>
      <c r="N100" s="88">
        <f t="shared" si="14"/>
        <v>10.73</v>
      </c>
      <c r="P100" s="92"/>
      <c r="Q100" s="92"/>
      <c r="R100" s="92"/>
      <c r="S100" s="92">
        <f t="shared" si="10"/>
        <v>0</v>
      </c>
      <c r="U100" s="1">
        <f t="shared" si="11"/>
        <v>0</v>
      </c>
    </row>
    <row r="101" spans="1:21" x14ac:dyDescent="0.2">
      <c r="A101" s="20"/>
      <c r="B101" s="2" t="s">
        <v>106</v>
      </c>
      <c r="C101" s="14"/>
      <c r="D101" s="48"/>
      <c r="E101" s="48"/>
      <c r="F101" s="48"/>
      <c r="G101" s="48"/>
      <c r="H101" s="48"/>
      <c r="J101" s="78"/>
      <c r="K101" s="76">
        <f t="shared" si="12"/>
        <v>0</v>
      </c>
      <c r="L101" s="78"/>
      <c r="M101" s="76">
        <f t="shared" si="13"/>
        <v>0</v>
      </c>
      <c r="N101" s="88">
        <f t="shared" si="14"/>
        <v>0</v>
      </c>
      <c r="P101" s="92"/>
      <c r="Q101" s="92"/>
      <c r="R101" s="92"/>
      <c r="S101" s="92">
        <f t="shared" si="10"/>
        <v>0</v>
      </c>
      <c r="U101" s="1">
        <f t="shared" si="11"/>
        <v>0</v>
      </c>
    </row>
    <row r="102" spans="1:21" ht="15" customHeight="1" x14ac:dyDescent="0.2">
      <c r="A102" s="277" t="s">
        <v>224</v>
      </c>
      <c r="B102" s="278"/>
      <c r="C102" s="278"/>
      <c r="D102" s="278"/>
      <c r="E102" s="278"/>
      <c r="F102" s="278"/>
      <c r="G102" s="278"/>
      <c r="H102" s="279"/>
      <c r="J102" s="73"/>
      <c r="K102" s="76">
        <f t="shared" si="12"/>
        <v>0</v>
      </c>
      <c r="L102" s="73"/>
      <c r="M102" s="76">
        <f t="shared" si="13"/>
        <v>0</v>
      </c>
      <c r="N102" s="88">
        <f t="shared" si="14"/>
        <v>0</v>
      </c>
      <c r="P102" s="92"/>
      <c r="Q102" s="92"/>
      <c r="R102" s="92"/>
      <c r="S102" s="92">
        <f t="shared" si="10"/>
        <v>0</v>
      </c>
      <c r="U102" s="1">
        <f t="shared" si="11"/>
        <v>0</v>
      </c>
    </row>
    <row r="103" spans="1:21" x14ac:dyDescent="0.2">
      <c r="B103" s="6" t="s">
        <v>215</v>
      </c>
      <c r="C103" s="12" t="s">
        <v>216</v>
      </c>
      <c r="D103" s="34">
        <v>8.75</v>
      </c>
      <c r="E103" s="35">
        <v>7.5</v>
      </c>
      <c r="F103" s="23">
        <f t="shared" ref="F103:H110" si="18">$E103*(1-F$1)</f>
        <v>7.2749999999999995</v>
      </c>
      <c r="G103" s="24">
        <f t="shared" si="18"/>
        <v>7.125</v>
      </c>
      <c r="H103" s="25">
        <f t="shared" si="18"/>
        <v>7.05</v>
      </c>
      <c r="J103" s="76">
        <v>8.75</v>
      </c>
      <c r="K103" s="76">
        <f t="shared" si="12"/>
        <v>0</v>
      </c>
      <c r="L103" s="76">
        <v>7.5</v>
      </c>
      <c r="M103" s="76">
        <f t="shared" si="13"/>
        <v>0</v>
      </c>
      <c r="N103" s="88">
        <f t="shared" si="14"/>
        <v>16.25</v>
      </c>
      <c r="P103" s="92"/>
      <c r="Q103" s="92"/>
      <c r="R103" s="92"/>
      <c r="S103" s="92">
        <f t="shared" si="10"/>
        <v>0</v>
      </c>
      <c r="U103" s="1">
        <f t="shared" si="11"/>
        <v>0</v>
      </c>
    </row>
    <row r="104" spans="1:21" x14ac:dyDescent="0.2">
      <c r="B104" s="6" t="s">
        <v>217</v>
      </c>
      <c r="C104" s="12" t="s">
        <v>223</v>
      </c>
      <c r="D104" s="34">
        <v>13.25</v>
      </c>
      <c r="E104" s="35">
        <v>11.25</v>
      </c>
      <c r="F104" s="23">
        <f t="shared" si="18"/>
        <v>10.9125</v>
      </c>
      <c r="G104" s="24">
        <f t="shared" si="18"/>
        <v>10.6875</v>
      </c>
      <c r="H104" s="25">
        <f t="shared" si="18"/>
        <v>10.574999999999999</v>
      </c>
      <c r="J104" s="76">
        <v>13.25</v>
      </c>
      <c r="K104" s="76">
        <f t="shared" si="12"/>
        <v>0</v>
      </c>
      <c r="L104" s="76">
        <v>11.25</v>
      </c>
      <c r="M104" s="76">
        <f t="shared" si="13"/>
        <v>0</v>
      </c>
      <c r="N104" s="88">
        <f t="shared" si="14"/>
        <v>24.5</v>
      </c>
      <c r="P104" s="92"/>
      <c r="Q104" s="92"/>
      <c r="R104" s="92"/>
      <c r="S104" s="92">
        <f t="shared" si="10"/>
        <v>0</v>
      </c>
      <c r="U104" s="1">
        <f t="shared" si="11"/>
        <v>0</v>
      </c>
    </row>
    <row r="105" spans="1:21" x14ac:dyDescent="0.2">
      <c r="B105" s="6" t="s">
        <v>218</v>
      </c>
      <c r="C105" s="12" t="s">
        <v>216</v>
      </c>
      <c r="D105" s="34">
        <v>9</v>
      </c>
      <c r="E105" s="35">
        <v>7.75</v>
      </c>
      <c r="F105" s="23">
        <f t="shared" si="18"/>
        <v>7.5175000000000001</v>
      </c>
      <c r="G105" s="24">
        <f t="shared" si="18"/>
        <v>7.3624999999999998</v>
      </c>
      <c r="H105" s="25">
        <f t="shared" si="18"/>
        <v>7.2849999999999993</v>
      </c>
      <c r="J105" s="76">
        <v>9</v>
      </c>
      <c r="K105" s="76">
        <f t="shared" si="12"/>
        <v>0</v>
      </c>
      <c r="L105" s="76">
        <v>7.75</v>
      </c>
      <c r="M105" s="76">
        <f t="shared" si="13"/>
        <v>0</v>
      </c>
      <c r="N105" s="88">
        <f t="shared" si="14"/>
        <v>16.75</v>
      </c>
      <c r="P105" s="92"/>
      <c r="Q105" s="92"/>
      <c r="R105" s="92"/>
      <c r="S105" s="92">
        <f t="shared" si="10"/>
        <v>0</v>
      </c>
      <c r="U105" s="1">
        <f t="shared" si="11"/>
        <v>0</v>
      </c>
    </row>
    <row r="106" spans="1:21" x14ac:dyDescent="0.2">
      <c r="B106" s="6" t="s">
        <v>219</v>
      </c>
      <c r="C106" s="12" t="s">
        <v>223</v>
      </c>
      <c r="D106" s="34">
        <v>13.75</v>
      </c>
      <c r="E106" s="35">
        <v>11.75</v>
      </c>
      <c r="F106" s="23">
        <f t="shared" si="18"/>
        <v>11.397499999999999</v>
      </c>
      <c r="G106" s="24">
        <f t="shared" si="18"/>
        <v>11.1625</v>
      </c>
      <c r="H106" s="25">
        <f t="shared" si="18"/>
        <v>11.045</v>
      </c>
      <c r="J106" s="76">
        <v>13.75</v>
      </c>
      <c r="K106" s="76">
        <f t="shared" si="12"/>
        <v>0</v>
      </c>
      <c r="L106" s="76">
        <v>11.75</v>
      </c>
      <c r="M106" s="76">
        <f t="shared" si="13"/>
        <v>0</v>
      </c>
      <c r="N106" s="88">
        <f t="shared" si="14"/>
        <v>25.5</v>
      </c>
      <c r="P106" s="92"/>
      <c r="Q106" s="92"/>
      <c r="R106" s="92"/>
      <c r="S106" s="92">
        <f t="shared" si="10"/>
        <v>0</v>
      </c>
      <c r="U106" s="1">
        <f t="shared" si="11"/>
        <v>0</v>
      </c>
    </row>
    <row r="107" spans="1:21" x14ac:dyDescent="0.2">
      <c r="B107" s="6" t="s">
        <v>220</v>
      </c>
      <c r="C107" s="12" t="s">
        <v>216</v>
      </c>
      <c r="D107" s="34">
        <v>8.5</v>
      </c>
      <c r="E107" s="35">
        <v>7.25</v>
      </c>
      <c r="F107" s="23">
        <f t="shared" si="18"/>
        <v>7.0324999999999998</v>
      </c>
      <c r="G107" s="24">
        <f t="shared" si="18"/>
        <v>6.8874999999999993</v>
      </c>
      <c r="H107" s="25">
        <f t="shared" si="18"/>
        <v>6.8149999999999995</v>
      </c>
      <c r="J107" s="76">
        <v>8.5</v>
      </c>
      <c r="K107" s="76">
        <f t="shared" si="12"/>
        <v>0</v>
      </c>
      <c r="L107" s="76">
        <v>7.25</v>
      </c>
      <c r="M107" s="76">
        <f t="shared" si="13"/>
        <v>0</v>
      </c>
      <c r="N107" s="88">
        <f t="shared" si="14"/>
        <v>15.75</v>
      </c>
      <c r="P107" s="92"/>
      <c r="Q107" s="92"/>
      <c r="R107" s="92"/>
      <c r="S107" s="92">
        <f t="shared" si="10"/>
        <v>0</v>
      </c>
      <c r="U107" s="1">
        <f t="shared" si="11"/>
        <v>0</v>
      </c>
    </row>
    <row r="108" spans="1:21" x14ac:dyDescent="0.2">
      <c r="B108" s="6" t="s">
        <v>221</v>
      </c>
      <c r="C108" s="12" t="s">
        <v>223</v>
      </c>
      <c r="D108" s="34">
        <v>13</v>
      </c>
      <c r="E108" s="35">
        <v>11</v>
      </c>
      <c r="F108" s="23">
        <f t="shared" si="18"/>
        <v>10.67</v>
      </c>
      <c r="G108" s="24">
        <f t="shared" si="18"/>
        <v>10.45</v>
      </c>
      <c r="H108" s="25">
        <f t="shared" si="18"/>
        <v>10.34</v>
      </c>
      <c r="J108" s="76">
        <v>13</v>
      </c>
      <c r="K108" s="76">
        <f t="shared" si="12"/>
        <v>0</v>
      </c>
      <c r="L108" s="76">
        <v>11</v>
      </c>
      <c r="M108" s="76">
        <f t="shared" si="13"/>
        <v>0</v>
      </c>
      <c r="N108" s="88">
        <f t="shared" si="14"/>
        <v>24</v>
      </c>
      <c r="P108" s="92"/>
      <c r="Q108" s="92"/>
      <c r="R108" s="92"/>
      <c r="S108" s="92">
        <f t="shared" si="10"/>
        <v>0</v>
      </c>
      <c r="U108" s="1">
        <f t="shared" si="11"/>
        <v>0</v>
      </c>
    </row>
    <row r="109" spans="1:21" x14ac:dyDescent="0.2">
      <c r="B109" s="6" t="s">
        <v>213</v>
      </c>
      <c r="C109" s="12" t="s">
        <v>222</v>
      </c>
      <c r="D109" s="34">
        <v>196</v>
      </c>
      <c r="E109" s="35">
        <v>140</v>
      </c>
      <c r="F109" s="23">
        <f t="shared" si="18"/>
        <v>135.79999999999998</v>
      </c>
      <c r="G109" s="24">
        <f t="shared" si="18"/>
        <v>133</v>
      </c>
      <c r="H109" s="25">
        <f t="shared" si="18"/>
        <v>131.6</v>
      </c>
      <c r="J109" s="76">
        <v>196</v>
      </c>
      <c r="K109" s="76">
        <f t="shared" si="12"/>
        <v>0</v>
      </c>
      <c r="L109" s="76">
        <v>140</v>
      </c>
      <c r="M109" s="76">
        <f t="shared" si="13"/>
        <v>0</v>
      </c>
      <c r="N109" s="88">
        <f t="shared" si="14"/>
        <v>336</v>
      </c>
      <c r="P109" s="92"/>
      <c r="Q109" s="92"/>
      <c r="R109" s="92"/>
      <c r="S109" s="92">
        <f t="shared" si="10"/>
        <v>0</v>
      </c>
      <c r="U109" s="1">
        <f t="shared" si="11"/>
        <v>0</v>
      </c>
    </row>
    <row r="110" spans="1:21" x14ac:dyDescent="0.2">
      <c r="B110" s="6" t="s">
        <v>214</v>
      </c>
      <c r="C110" s="12" t="s">
        <v>222</v>
      </c>
      <c r="D110" s="34">
        <v>14</v>
      </c>
      <c r="E110" s="35">
        <v>10</v>
      </c>
      <c r="F110" s="23">
        <f t="shared" si="18"/>
        <v>9.6999999999999993</v>
      </c>
      <c r="G110" s="24">
        <f t="shared" si="18"/>
        <v>9.5</v>
      </c>
      <c r="H110" s="25">
        <f t="shared" si="18"/>
        <v>9.3999999999999986</v>
      </c>
      <c r="J110" s="76">
        <v>14</v>
      </c>
      <c r="K110" s="76">
        <f t="shared" si="12"/>
        <v>0</v>
      </c>
      <c r="L110" s="76">
        <v>10</v>
      </c>
      <c r="M110" s="76">
        <f t="shared" si="13"/>
        <v>0</v>
      </c>
      <c r="N110" s="88">
        <f t="shared" si="14"/>
        <v>24</v>
      </c>
      <c r="P110" s="92"/>
      <c r="Q110" s="92"/>
      <c r="R110" s="92"/>
      <c r="S110" s="92">
        <f t="shared" si="10"/>
        <v>0</v>
      </c>
      <c r="U110" s="1">
        <f t="shared" si="11"/>
        <v>0</v>
      </c>
    </row>
    <row r="111" spans="1:21" ht="15" customHeight="1" x14ac:dyDescent="0.2">
      <c r="A111" s="277" t="s">
        <v>225</v>
      </c>
      <c r="B111" s="278"/>
      <c r="C111" s="278"/>
      <c r="D111" s="278"/>
      <c r="E111" s="278"/>
      <c r="F111" s="278"/>
      <c r="G111" s="278"/>
      <c r="H111" s="279"/>
      <c r="J111" s="73"/>
      <c r="K111" s="76">
        <f t="shared" si="12"/>
        <v>0</v>
      </c>
      <c r="L111" s="73"/>
      <c r="M111" s="76">
        <f t="shared" si="13"/>
        <v>0</v>
      </c>
      <c r="N111" s="88">
        <f t="shared" si="14"/>
        <v>0</v>
      </c>
      <c r="S111" s="1">
        <f t="shared" si="10"/>
        <v>0</v>
      </c>
      <c r="U111" s="1">
        <f t="shared" si="11"/>
        <v>0</v>
      </c>
    </row>
    <row r="112" spans="1:21" x14ac:dyDescent="0.2">
      <c r="B112" s="7" t="s">
        <v>190</v>
      </c>
      <c r="C112" s="17"/>
      <c r="D112" s="43"/>
      <c r="E112" s="44"/>
      <c r="F112" s="40"/>
      <c r="G112" s="41"/>
      <c r="H112" s="42"/>
      <c r="J112" s="82"/>
      <c r="K112" s="76">
        <f t="shared" si="12"/>
        <v>0</v>
      </c>
      <c r="L112" s="82"/>
      <c r="M112" s="76">
        <f t="shared" si="13"/>
        <v>0</v>
      </c>
      <c r="N112" s="88">
        <f t="shared" si="14"/>
        <v>0</v>
      </c>
      <c r="S112" s="1">
        <f t="shared" si="10"/>
        <v>0</v>
      </c>
      <c r="U112" s="1">
        <f t="shared" si="11"/>
        <v>0</v>
      </c>
    </row>
    <row r="113" spans="1:23" x14ac:dyDescent="0.2">
      <c r="A113" s="60"/>
      <c r="B113" s="7" t="s">
        <v>191</v>
      </c>
      <c r="C113" s="18"/>
      <c r="D113" s="38"/>
      <c r="E113" s="39"/>
      <c r="F113" s="40"/>
      <c r="G113" s="41"/>
      <c r="H113" s="42"/>
      <c r="J113" s="83"/>
      <c r="K113" s="76">
        <f t="shared" si="12"/>
        <v>0</v>
      </c>
      <c r="L113" s="83"/>
      <c r="M113" s="76">
        <f t="shared" si="13"/>
        <v>0</v>
      </c>
      <c r="N113" s="88">
        <f t="shared" si="14"/>
        <v>0</v>
      </c>
      <c r="S113" s="1">
        <f t="shared" si="10"/>
        <v>0</v>
      </c>
      <c r="U113" s="1">
        <f t="shared" si="11"/>
        <v>0</v>
      </c>
    </row>
    <row r="114" spans="1:23" x14ac:dyDescent="0.2">
      <c r="A114" s="20"/>
      <c r="B114" s="2" t="s">
        <v>107</v>
      </c>
      <c r="C114" s="14"/>
      <c r="D114" s="48"/>
      <c r="E114" s="48"/>
      <c r="F114" s="48"/>
      <c r="G114" s="48"/>
      <c r="H114" s="48"/>
      <c r="J114" s="78"/>
      <c r="K114" s="76">
        <f t="shared" si="12"/>
        <v>0</v>
      </c>
      <c r="L114" s="78"/>
      <c r="M114" s="76">
        <f t="shared" si="13"/>
        <v>0</v>
      </c>
      <c r="N114" s="88">
        <f t="shared" si="14"/>
        <v>0</v>
      </c>
      <c r="S114" s="1">
        <f t="shared" si="10"/>
        <v>0</v>
      </c>
      <c r="U114" s="1">
        <f t="shared" si="11"/>
        <v>0</v>
      </c>
    </row>
    <row r="115" spans="1:23" ht="15" customHeight="1" x14ac:dyDescent="0.2">
      <c r="A115" s="277" t="s">
        <v>226</v>
      </c>
      <c r="B115" s="278"/>
      <c r="C115" s="278"/>
      <c r="D115" s="278"/>
      <c r="E115" s="278"/>
      <c r="F115" s="278"/>
      <c r="G115" s="278"/>
      <c r="H115" s="279"/>
      <c r="J115" s="73"/>
      <c r="K115" s="76">
        <f t="shared" si="12"/>
        <v>0</v>
      </c>
      <c r="L115" s="73"/>
      <c r="M115" s="76">
        <f t="shared" si="13"/>
        <v>0</v>
      </c>
      <c r="N115" s="88">
        <f t="shared" si="14"/>
        <v>0</v>
      </c>
      <c r="S115" s="1">
        <f t="shared" si="10"/>
        <v>0</v>
      </c>
      <c r="U115" s="1">
        <f t="shared" si="11"/>
        <v>0</v>
      </c>
    </row>
    <row r="116" spans="1:23" x14ac:dyDescent="0.2">
      <c r="A116" s="60"/>
      <c r="B116" s="7" t="s">
        <v>108</v>
      </c>
      <c r="C116" s="19"/>
      <c r="D116" s="43"/>
      <c r="E116" s="44"/>
      <c r="F116" s="40"/>
      <c r="G116" s="41"/>
      <c r="H116" s="42"/>
      <c r="J116" s="82"/>
      <c r="K116" s="76">
        <f t="shared" si="12"/>
        <v>0</v>
      </c>
      <c r="L116" s="82"/>
      <c r="M116" s="76">
        <f t="shared" si="13"/>
        <v>0</v>
      </c>
      <c r="N116" s="88">
        <f t="shared" si="14"/>
        <v>0</v>
      </c>
      <c r="S116" s="1">
        <f t="shared" si="10"/>
        <v>0</v>
      </c>
      <c r="U116" s="1">
        <f t="shared" si="11"/>
        <v>0</v>
      </c>
    </row>
    <row r="117" spans="1:23" x14ac:dyDescent="0.2">
      <c r="A117" s="20"/>
      <c r="B117" s="2" t="s">
        <v>109</v>
      </c>
      <c r="C117" s="14"/>
      <c r="D117" s="48"/>
      <c r="E117" s="48"/>
      <c r="F117" s="48"/>
      <c r="G117" s="48"/>
      <c r="H117" s="48"/>
      <c r="J117" s="78"/>
      <c r="K117" s="76">
        <f t="shared" si="12"/>
        <v>0</v>
      </c>
      <c r="L117" s="78"/>
      <c r="M117" s="76">
        <f t="shared" si="13"/>
        <v>0</v>
      </c>
      <c r="N117" s="88">
        <f t="shared" si="14"/>
        <v>0</v>
      </c>
      <c r="S117" s="1">
        <f t="shared" si="10"/>
        <v>0</v>
      </c>
      <c r="U117" s="1">
        <f t="shared" si="11"/>
        <v>0</v>
      </c>
    </row>
    <row r="118" spans="1:23" x14ac:dyDescent="0.2">
      <c r="A118" s="61"/>
      <c r="B118" s="8" t="s">
        <v>110</v>
      </c>
      <c r="C118" s="15" t="s">
        <v>14</v>
      </c>
      <c r="D118" s="21">
        <v>54</v>
      </c>
      <c r="E118" s="22">
        <v>36</v>
      </c>
      <c r="F118" s="23">
        <f t="shared" ref="F118:H121" si="19">$E118*(1-F$1)</f>
        <v>34.92</v>
      </c>
      <c r="G118" s="24">
        <f t="shared" si="19"/>
        <v>34.199999999999996</v>
      </c>
      <c r="H118" s="25">
        <f t="shared" si="19"/>
        <v>33.839999999999996</v>
      </c>
      <c r="J118" s="79">
        <v>54</v>
      </c>
      <c r="K118" s="76">
        <f t="shared" si="12"/>
        <v>54</v>
      </c>
      <c r="L118" s="79">
        <v>36</v>
      </c>
      <c r="M118" s="76">
        <f t="shared" si="13"/>
        <v>36</v>
      </c>
      <c r="N118" s="88">
        <f t="shared" si="14"/>
        <v>0</v>
      </c>
      <c r="P118" s="1">
        <v>20.02</v>
      </c>
      <c r="S118" s="1">
        <f t="shared" si="10"/>
        <v>20.02</v>
      </c>
      <c r="T118" s="1">
        <v>0.05</v>
      </c>
      <c r="U118" s="1">
        <f t="shared" si="11"/>
        <v>21.021000000000001</v>
      </c>
      <c r="V118" s="1">
        <v>0.65</v>
      </c>
      <c r="W118" s="1">
        <v>0.52</v>
      </c>
    </row>
    <row r="119" spans="1:23" x14ac:dyDescent="0.2">
      <c r="B119" s="6" t="s">
        <v>111</v>
      </c>
      <c r="C119" s="12" t="s">
        <v>14</v>
      </c>
      <c r="D119" s="34">
        <v>66</v>
      </c>
      <c r="E119" s="35">
        <v>48</v>
      </c>
      <c r="F119" s="23">
        <f t="shared" si="19"/>
        <v>46.56</v>
      </c>
      <c r="G119" s="24">
        <f t="shared" si="19"/>
        <v>45.599999999999994</v>
      </c>
      <c r="H119" s="25">
        <f t="shared" si="19"/>
        <v>45.12</v>
      </c>
      <c r="J119" s="76">
        <v>66</v>
      </c>
      <c r="K119" s="76">
        <f t="shared" si="12"/>
        <v>66</v>
      </c>
      <c r="L119" s="76">
        <v>48</v>
      </c>
      <c r="M119" s="76">
        <f t="shared" si="13"/>
        <v>48</v>
      </c>
      <c r="N119" s="88">
        <f t="shared" si="14"/>
        <v>0</v>
      </c>
      <c r="P119" s="1">
        <v>29.98</v>
      </c>
      <c r="S119" s="1">
        <f t="shared" si="10"/>
        <v>29.98</v>
      </c>
      <c r="T119" s="1">
        <v>0.05</v>
      </c>
      <c r="U119" s="1">
        <f t="shared" si="11"/>
        <v>31.479000000000003</v>
      </c>
      <c r="V119" s="1">
        <v>0.48</v>
      </c>
      <c r="W119" s="1">
        <v>0.37</v>
      </c>
    </row>
    <row r="120" spans="1:23" x14ac:dyDescent="0.2">
      <c r="B120" s="6" t="s">
        <v>112</v>
      </c>
      <c r="C120" s="12" t="s">
        <v>200</v>
      </c>
      <c r="D120" s="34">
        <v>65</v>
      </c>
      <c r="E120" s="35">
        <v>50</v>
      </c>
      <c r="F120" s="23">
        <f t="shared" si="19"/>
        <v>48.5</v>
      </c>
      <c r="G120" s="24">
        <f t="shared" si="19"/>
        <v>47.5</v>
      </c>
      <c r="H120" s="25">
        <f t="shared" si="19"/>
        <v>47</v>
      </c>
      <c r="J120" s="76">
        <v>65</v>
      </c>
      <c r="K120" s="76">
        <f t="shared" si="12"/>
        <v>65</v>
      </c>
      <c r="L120" s="76">
        <v>50</v>
      </c>
      <c r="M120" s="76">
        <f t="shared" si="13"/>
        <v>50</v>
      </c>
      <c r="N120" s="88">
        <f t="shared" si="14"/>
        <v>0</v>
      </c>
      <c r="P120" s="1">
        <v>33</v>
      </c>
      <c r="S120" s="1">
        <f t="shared" si="10"/>
        <v>33</v>
      </c>
      <c r="T120" s="1">
        <v>0.2</v>
      </c>
      <c r="U120" s="1">
        <f t="shared" si="11"/>
        <v>39.6</v>
      </c>
      <c r="V120" s="1">
        <v>0.23</v>
      </c>
      <c r="W120" s="1">
        <v>0.3</v>
      </c>
    </row>
    <row r="121" spans="1:23" x14ac:dyDescent="0.2">
      <c r="A121" s="60"/>
      <c r="B121" s="7" t="s">
        <v>113</v>
      </c>
      <c r="C121" s="13" t="s">
        <v>14</v>
      </c>
      <c r="D121" s="36">
        <v>48</v>
      </c>
      <c r="E121" s="37">
        <v>30</v>
      </c>
      <c r="F121" s="23">
        <f t="shared" si="19"/>
        <v>29.099999999999998</v>
      </c>
      <c r="G121" s="24">
        <f t="shared" si="19"/>
        <v>28.5</v>
      </c>
      <c r="H121" s="25">
        <f t="shared" si="19"/>
        <v>28.2</v>
      </c>
      <c r="J121" s="77">
        <v>48</v>
      </c>
      <c r="K121" s="76">
        <f t="shared" si="12"/>
        <v>49</v>
      </c>
      <c r="L121" s="77">
        <v>30</v>
      </c>
      <c r="M121" s="76">
        <f t="shared" si="13"/>
        <v>30</v>
      </c>
      <c r="N121" s="88">
        <f t="shared" si="14"/>
        <v>-1</v>
      </c>
      <c r="P121" s="1">
        <v>12.37</v>
      </c>
      <c r="S121" s="1">
        <f t="shared" si="10"/>
        <v>12.37</v>
      </c>
      <c r="T121" s="1">
        <v>0.2</v>
      </c>
      <c r="U121" s="1">
        <f t="shared" si="11"/>
        <v>14.843999999999998</v>
      </c>
      <c r="V121" s="1">
        <v>0.95</v>
      </c>
      <c r="W121" s="1">
        <v>0.63</v>
      </c>
    </row>
    <row r="122" spans="1:23" x14ac:dyDescent="0.2">
      <c r="A122" s="20"/>
      <c r="B122" s="2" t="s">
        <v>114</v>
      </c>
      <c r="C122" s="20"/>
      <c r="D122" s="49"/>
      <c r="E122" s="50"/>
      <c r="F122" s="50"/>
      <c r="G122" s="50"/>
      <c r="H122" s="50"/>
      <c r="J122" s="80"/>
      <c r="K122" s="76">
        <f t="shared" si="12"/>
        <v>0</v>
      </c>
      <c r="L122" s="81"/>
      <c r="M122" s="76">
        <f t="shared" si="13"/>
        <v>0</v>
      </c>
      <c r="N122" s="88">
        <f t="shared" si="14"/>
        <v>0</v>
      </c>
      <c r="S122" s="1">
        <f t="shared" si="10"/>
        <v>0</v>
      </c>
      <c r="U122" s="1">
        <f t="shared" si="11"/>
        <v>0</v>
      </c>
    </row>
    <row r="123" spans="1:23" x14ac:dyDescent="0.2">
      <c r="A123" s="61"/>
      <c r="B123" s="8" t="s">
        <v>115</v>
      </c>
      <c r="C123" s="15" t="s">
        <v>192</v>
      </c>
      <c r="D123" s="21">
        <v>46</v>
      </c>
      <c r="E123" s="22">
        <v>31</v>
      </c>
      <c r="F123" s="23">
        <f t="shared" ref="F123:H130" si="20">$E123*(1-F$1)</f>
        <v>30.07</v>
      </c>
      <c r="G123" s="24">
        <f t="shared" si="20"/>
        <v>29.45</v>
      </c>
      <c r="H123" s="25">
        <f t="shared" si="20"/>
        <v>29.139999999999997</v>
      </c>
      <c r="J123" s="79">
        <v>46</v>
      </c>
      <c r="K123" s="76">
        <f t="shared" si="12"/>
        <v>39</v>
      </c>
      <c r="L123" s="79">
        <v>31</v>
      </c>
      <c r="M123" s="76">
        <f t="shared" si="13"/>
        <v>26</v>
      </c>
      <c r="N123" s="91">
        <f t="shared" si="14"/>
        <v>12</v>
      </c>
      <c r="P123" s="1">
        <v>14.75</v>
      </c>
      <c r="R123" s="1">
        <v>0.2</v>
      </c>
      <c r="S123" s="1">
        <f t="shared" si="10"/>
        <v>14.95</v>
      </c>
      <c r="U123" s="1">
        <f t="shared" si="11"/>
        <v>14.95</v>
      </c>
      <c r="V123" s="1">
        <v>0.68</v>
      </c>
      <c r="W123" s="1">
        <v>0.5</v>
      </c>
    </row>
    <row r="124" spans="1:23" x14ac:dyDescent="0.2">
      <c r="B124" s="6" t="s">
        <v>116</v>
      </c>
      <c r="C124" s="12" t="s">
        <v>192</v>
      </c>
      <c r="D124" s="34">
        <v>60</v>
      </c>
      <c r="E124" s="35">
        <v>43</v>
      </c>
      <c r="F124" s="23">
        <f t="shared" si="20"/>
        <v>41.71</v>
      </c>
      <c r="G124" s="24">
        <f t="shared" si="20"/>
        <v>40.85</v>
      </c>
      <c r="H124" s="25">
        <f t="shared" si="20"/>
        <v>40.419999999999995</v>
      </c>
      <c r="J124" s="76">
        <v>60</v>
      </c>
      <c r="K124" s="76">
        <f t="shared" si="12"/>
        <v>51</v>
      </c>
      <c r="L124" s="76">
        <v>43</v>
      </c>
      <c r="M124" s="76">
        <f t="shared" si="13"/>
        <v>36</v>
      </c>
      <c r="N124" s="91">
        <f t="shared" si="14"/>
        <v>16</v>
      </c>
      <c r="P124" s="1">
        <v>20.45</v>
      </c>
      <c r="R124" s="1">
        <v>0.2</v>
      </c>
      <c r="S124" s="1">
        <f t="shared" si="10"/>
        <v>20.65</v>
      </c>
      <c r="U124" s="1">
        <f t="shared" si="11"/>
        <v>20.65</v>
      </c>
      <c r="V124" s="1">
        <v>0.7</v>
      </c>
      <c r="W124" s="1">
        <v>0.4</v>
      </c>
    </row>
    <row r="125" spans="1:23" x14ac:dyDescent="0.2">
      <c r="B125" s="6" t="s">
        <v>117</v>
      </c>
      <c r="C125" s="12" t="s">
        <v>192</v>
      </c>
      <c r="D125" s="34">
        <v>53</v>
      </c>
      <c r="E125" s="35">
        <v>37</v>
      </c>
      <c r="F125" s="23">
        <f t="shared" si="20"/>
        <v>35.89</v>
      </c>
      <c r="G125" s="24">
        <f t="shared" si="20"/>
        <v>35.15</v>
      </c>
      <c r="H125" s="25">
        <f t="shared" si="20"/>
        <v>34.78</v>
      </c>
      <c r="J125" s="76">
        <v>53</v>
      </c>
      <c r="K125" s="76">
        <f t="shared" si="12"/>
        <v>45</v>
      </c>
      <c r="L125" s="76">
        <v>37</v>
      </c>
      <c r="M125" s="76">
        <f t="shared" si="13"/>
        <v>31</v>
      </c>
      <c r="N125" s="91">
        <f t="shared" si="14"/>
        <v>14</v>
      </c>
      <c r="P125" s="1">
        <v>17.5</v>
      </c>
      <c r="R125" s="1">
        <v>0.2</v>
      </c>
      <c r="S125" s="1">
        <f t="shared" si="10"/>
        <v>17.7</v>
      </c>
      <c r="U125" s="1">
        <f t="shared" si="11"/>
        <v>17.7</v>
      </c>
      <c r="V125" s="1">
        <v>0.7</v>
      </c>
      <c r="W125" s="1">
        <v>0.45</v>
      </c>
    </row>
    <row r="126" spans="1:23" x14ac:dyDescent="0.2">
      <c r="B126" s="6" t="s">
        <v>118</v>
      </c>
      <c r="C126" s="12" t="s">
        <v>192</v>
      </c>
      <c r="D126" s="34">
        <v>53</v>
      </c>
      <c r="E126" s="35">
        <v>37</v>
      </c>
      <c r="F126" s="23">
        <f t="shared" si="20"/>
        <v>35.89</v>
      </c>
      <c r="G126" s="24">
        <f t="shared" si="20"/>
        <v>35.15</v>
      </c>
      <c r="H126" s="25">
        <f t="shared" si="20"/>
        <v>34.78</v>
      </c>
      <c r="J126" s="76">
        <v>53</v>
      </c>
      <c r="K126" s="76">
        <f t="shared" si="12"/>
        <v>44</v>
      </c>
      <c r="L126" s="76">
        <v>37</v>
      </c>
      <c r="M126" s="76">
        <f t="shared" si="13"/>
        <v>31</v>
      </c>
      <c r="N126" s="91">
        <f t="shared" si="14"/>
        <v>15</v>
      </c>
      <c r="P126" s="1">
        <v>17.850000000000001</v>
      </c>
      <c r="R126" s="1">
        <v>0.2</v>
      </c>
      <c r="S126" s="1">
        <f t="shared" si="10"/>
        <v>18.05</v>
      </c>
      <c r="U126" s="1">
        <f t="shared" si="11"/>
        <v>18.05</v>
      </c>
      <c r="V126" s="1">
        <v>0.66</v>
      </c>
      <c r="W126" s="1">
        <v>0.44</v>
      </c>
    </row>
    <row r="127" spans="1:23" x14ac:dyDescent="0.2">
      <c r="B127" s="6" t="s">
        <v>119</v>
      </c>
      <c r="C127" s="12" t="s">
        <v>192</v>
      </c>
      <c r="D127" s="34">
        <v>53</v>
      </c>
      <c r="E127" s="35">
        <v>37</v>
      </c>
      <c r="F127" s="23">
        <f t="shared" si="20"/>
        <v>35.89</v>
      </c>
      <c r="G127" s="24">
        <f t="shared" si="20"/>
        <v>35.15</v>
      </c>
      <c r="H127" s="25">
        <f t="shared" si="20"/>
        <v>34.78</v>
      </c>
      <c r="J127" s="76">
        <v>53</v>
      </c>
      <c r="K127" s="76">
        <f t="shared" si="12"/>
        <v>44</v>
      </c>
      <c r="L127" s="76">
        <v>37</v>
      </c>
      <c r="M127" s="76">
        <f t="shared" si="13"/>
        <v>31</v>
      </c>
      <c r="N127" s="91">
        <f t="shared" si="14"/>
        <v>15</v>
      </c>
      <c r="P127" s="1">
        <v>17.850000000000001</v>
      </c>
      <c r="R127" s="1">
        <v>0.2</v>
      </c>
      <c r="S127" s="1">
        <f t="shared" si="10"/>
        <v>18.05</v>
      </c>
      <c r="U127" s="1">
        <f t="shared" si="11"/>
        <v>18.05</v>
      </c>
      <c r="V127" s="1">
        <v>0.66</v>
      </c>
      <c r="W127" s="1">
        <v>0.44</v>
      </c>
    </row>
    <row r="128" spans="1:23" x14ac:dyDescent="0.2">
      <c r="B128" s="6" t="s">
        <v>212</v>
      </c>
      <c r="C128" s="12" t="s">
        <v>192</v>
      </c>
      <c r="D128" s="34">
        <v>69</v>
      </c>
      <c r="E128" s="35">
        <v>50</v>
      </c>
      <c r="F128" s="23">
        <f t="shared" si="20"/>
        <v>48.5</v>
      </c>
      <c r="G128" s="24">
        <f t="shared" si="20"/>
        <v>47.5</v>
      </c>
      <c r="H128" s="25">
        <f t="shared" si="20"/>
        <v>47</v>
      </c>
      <c r="J128" s="76">
        <v>69</v>
      </c>
      <c r="K128" s="76">
        <f t="shared" si="12"/>
        <v>58</v>
      </c>
      <c r="L128" s="76">
        <v>50</v>
      </c>
      <c r="M128" s="76">
        <f t="shared" si="13"/>
        <v>42</v>
      </c>
      <c r="N128" s="91">
        <f t="shared" si="14"/>
        <v>19</v>
      </c>
      <c r="P128" s="1">
        <v>24.75</v>
      </c>
      <c r="R128" s="1">
        <v>0.2</v>
      </c>
      <c r="S128" s="1">
        <f t="shared" si="10"/>
        <v>24.95</v>
      </c>
      <c r="U128" s="1">
        <f t="shared" si="11"/>
        <v>24.95</v>
      </c>
      <c r="V128" s="1">
        <v>0.62</v>
      </c>
      <c r="W128" s="1">
        <v>0.39</v>
      </c>
    </row>
    <row r="129" spans="1:23" x14ac:dyDescent="0.2">
      <c r="B129" s="6" t="s">
        <v>120</v>
      </c>
      <c r="C129" s="12" t="s">
        <v>192</v>
      </c>
      <c r="D129" s="34">
        <v>74</v>
      </c>
      <c r="E129" s="35">
        <v>53</v>
      </c>
      <c r="F129" s="23">
        <f t="shared" si="20"/>
        <v>51.41</v>
      </c>
      <c r="G129" s="24">
        <f t="shared" si="20"/>
        <v>50.349999999999994</v>
      </c>
      <c r="H129" s="25">
        <f t="shared" si="20"/>
        <v>49.82</v>
      </c>
      <c r="J129" s="76">
        <v>74</v>
      </c>
      <c r="K129" s="76">
        <f t="shared" si="12"/>
        <v>62</v>
      </c>
      <c r="L129" s="76">
        <v>53</v>
      </c>
      <c r="M129" s="76">
        <f t="shared" si="13"/>
        <v>45</v>
      </c>
      <c r="N129" s="91">
        <f t="shared" si="14"/>
        <v>20</v>
      </c>
      <c r="P129" s="1">
        <v>26</v>
      </c>
      <c r="R129" s="1">
        <v>0.2</v>
      </c>
      <c r="S129" s="1">
        <f t="shared" si="10"/>
        <v>26.2</v>
      </c>
      <c r="U129" s="1">
        <f t="shared" si="11"/>
        <v>26.2</v>
      </c>
      <c r="V129" s="1">
        <v>0.65</v>
      </c>
      <c r="W129" s="1">
        <v>0.4</v>
      </c>
    </row>
    <row r="130" spans="1:23" x14ac:dyDescent="0.2">
      <c r="A130" s="60"/>
      <c r="B130" s="7" t="s">
        <v>121</v>
      </c>
      <c r="C130" s="13" t="s">
        <v>192</v>
      </c>
      <c r="D130" s="36">
        <v>75</v>
      </c>
      <c r="E130" s="37">
        <v>54</v>
      </c>
      <c r="F130" s="23">
        <f t="shared" si="20"/>
        <v>52.379999999999995</v>
      </c>
      <c r="G130" s="24">
        <f t="shared" si="20"/>
        <v>51.3</v>
      </c>
      <c r="H130" s="25">
        <f t="shared" si="20"/>
        <v>50.76</v>
      </c>
      <c r="J130" s="77">
        <v>75</v>
      </c>
      <c r="K130" s="76">
        <f t="shared" si="12"/>
        <v>63</v>
      </c>
      <c r="L130" s="77">
        <v>54</v>
      </c>
      <c r="M130" s="76">
        <f t="shared" si="13"/>
        <v>45</v>
      </c>
      <c r="N130" s="91">
        <f t="shared" si="14"/>
        <v>21</v>
      </c>
      <c r="P130" s="1">
        <v>26.5</v>
      </c>
      <c r="R130" s="1">
        <v>0.2</v>
      </c>
      <c r="S130" s="1">
        <f t="shared" si="10"/>
        <v>26.7</v>
      </c>
      <c r="U130" s="1">
        <f t="shared" si="11"/>
        <v>26.7</v>
      </c>
      <c r="V130" s="1">
        <v>0.65</v>
      </c>
      <c r="W130" s="1">
        <v>0.39</v>
      </c>
    </row>
    <row r="131" spans="1:23" x14ac:dyDescent="0.2">
      <c r="A131" s="20"/>
      <c r="B131" s="2" t="s">
        <v>122</v>
      </c>
      <c r="C131" s="14"/>
      <c r="D131" s="48"/>
      <c r="E131" s="48"/>
      <c r="F131" s="48"/>
      <c r="G131" s="48"/>
      <c r="H131" s="48"/>
      <c r="J131" s="78"/>
      <c r="K131" s="76">
        <f t="shared" si="12"/>
        <v>0</v>
      </c>
      <c r="L131" s="78"/>
      <c r="M131" s="76">
        <f t="shared" si="13"/>
        <v>0</v>
      </c>
      <c r="N131" s="88">
        <f t="shared" si="14"/>
        <v>0</v>
      </c>
      <c r="S131" s="1">
        <f t="shared" si="10"/>
        <v>0</v>
      </c>
      <c r="U131" s="1">
        <f t="shared" si="11"/>
        <v>0</v>
      </c>
    </row>
    <row r="132" spans="1:23" x14ac:dyDescent="0.2">
      <c r="A132" s="61"/>
      <c r="B132" s="8" t="s">
        <v>123</v>
      </c>
      <c r="C132" s="15" t="s">
        <v>188</v>
      </c>
      <c r="D132" s="21">
        <v>52</v>
      </c>
      <c r="E132" s="22">
        <v>40</v>
      </c>
      <c r="F132" s="23">
        <f t="shared" ref="F132:H145" si="21">$E132*(1-F$1)</f>
        <v>38.799999999999997</v>
      </c>
      <c r="G132" s="24">
        <f t="shared" si="21"/>
        <v>38</v>
      </c>
      <c r="H132" s="25">
        <f t="shared" si="21"/>
        <v>37.599999999999994</v>
      </c>
      <c r="J132" s="79">
        <v>52</v>
      </c>
      <c r="K132" s="76">
        <f t="shared" si="12"/>
        <v>52</v>
      </c>
      <c r="L132" s="79">
        <v>40</v>
      </c>
      <c r="M132" s="76">
        <f t="shared" si="13"/>
        <v>40</v>
      </c>
      <c r="N132" s="88">
        <f t="shared" si="14"/>
        <v>0</v>
      </c>
      <c r="P132" s="1">
        <v>26.25</v>
      </c>
      <c r="S132" s="1">
        <f t="shared" si="10"/>
        <v>26.25</v>
      </c>
      <c r="T132" s="1">
        <v>0.05</v>
      </c>
      <c r="U132" s="1">
        <f t="shared" si="11"/>
        <v>27.5625</v>
      </c>
      <c r="V132" s="1">
        <v>0.42</v>
      </c>
      <c r="W132" s="1">
        <v>0.3</v>
      </c>
    </row>
    <row r="133" spans="1:23" x14ac:dyDescent="0.2">
      <c r="B133" s="6" t="s">
        <v>124</v>
      </c>
      <c r="C133" s="12" t="s">
        <v>188</v>
      </c>
      <c r="D133" s="34">
        <v>400</v>
      </c>
      <c r="E133" s="35">
        <v>295</v>
      </c>
      <c r="F133" s="23">
        <f t="shared" si="21"/>
        <v>286.14999999999998</v>
      </c>
      <c r="G133" s="24">
        <f t="shared" si="21"/>
        <v>280.25</v>
      </c>
      <c r="H133" s="25">
        <f t="shared" si="21"/>
        <v>277.3</v>
      </c>
      <c r="J133" s="76">
        <v>400</v>
      </c>
      <c r="K133" s="76">
        <f t="shared" si="12"/>
        <v>400</v>
      </c>
      <c r="L133" s="76">
        <v>295</v>
      </c>
      <c r="M133" s="76">
        <f t="shared" si="13"/>
        <v>295</v>
      </c>
      <c r="N133" s="88">
        <f t="shared" si="14"/>
        <v>0</v>
      </c>
      <c r="P133" s="1">
        <v>200</v>
      </c>
      <c r="S133" s="1">
        <f t="shared" ref="S133:S196" si="22">SUM(P133:R133)</f>
        <v>200</v>
      </c>
      <c r="U133" s="1">
        <f t="shared" ref="U133:U196" si="23">+S133*(1+T133)</f>
        <v>200</v>
      </c>
      <c r="V133" s="1">
        <v>0.432</v>
      </c>
      <c r="W133" s="1">
        <v>0.35499999999999998</v>
      </c>
    </row>
    <row r="134" spans="1:23" x14ac:dyDescent="0.2">
      <c r="B134" s="6" t="s">
        <v>125</v>
      </c>
      <c r="C134" s="12" t="s">
        <v>188</v>
      </c>
      <c r="D134" s="34">
        <v>32</v>
      </c>
      <c r="E134" s="35">
        <v>24</v>
      </c>
      <c r="F134" s="23">
        <f t="shared" si="21"/>
        <v>23.28</v>
      </c>
      <c r="G134" s="24">
        <f t="shared" si="21"/>
        <v>22.799999999999997</v>
      </c>
      <c r="H134" s="25">
        <f t="shared" si="21"/>
        <v>22.56</v>
      </c>
      <c r="J134" s="76">
        <v>32</v>
      </c>
      <c r="K134" s="76">
        <f t="shared" ref="K134:K197" si="24">ROUND(+U134*(1+V134)*(1+W134)*(1+$P$1),0)</f>
        <v>32</v>
      </c>
      <c r="L134" s="76">
        <v>24</v>
      </c>
      <c r="M134" s="76">
        <f t="shared" ref="M134:M197" si="25">ROUND(+U134*(1+V134)*(1+$P$1),0)</f>
        <v>24</v>
      </c>
      <c r="N134" s="88">
        <f t="shared" ref="N134:N197" si="26">+J134-K134+L134-M134</f>
        <v>0</v>
      </c>
      <c r="P134" s="1">
        <v>16.670000000000002</v>
      </c>
      <c r="S134" s="1">
        <f t="shared" si="22"/>
        <v>16.670000000000002</v>
      </c>
      <c r="U134" s="1">
        <f t="shared" si="23"/>
        <v>16.670000000000002</v>
      </c>
      <c r="V134" s="1">
        <v>0.4</v>
      </c>
      <c r="W134" s="1">
        <v>0.33500000000000002</v>
      </c>
    </row>
    <row r="135" spans="1:23" x14ac:dyDescent="0.2">
      <c r="B135" s="6" t="s">
        <v>126</v>
      </c>
      <c r="C135" s="12" t="s">
        <v>193</v>
      </c>
      <c r="D135" s="34">
        <v>33</v>
      </c>
      <c r="E135" s="35">
        <v>25</v>
      </c>
      <c r="F135" s="23">
        <f t="shared" si="21"/>
        <v>24.25</v>
      </c>
      <c r="G135" s="24">
        <f t="shared" si="21"/>
        <v>23.75</v>
      </c>
      <c r="H135" s="25">
        <f t="shared" si="21"/>
        <v>23.5</v>
      </c>
      <c r="J135" s="76">
        <v>33</v>
      </c>
      <c r="K135" s="76">
        <f t="shared" si="24"/>
        <v>33</v>
      </c>
      <c r="L135" s="76">
        <v>25</v>
      </c>
      <c r="M135" s="76">
        <f t="shared" si="25"/>
        <v>25</v>
      </c>
      <c r="N135" s="88">
        <f t="shared" si="26"/>
        <v>0</v>
      </c>
      <c r="P135" s="1">
        <v>14</v>
      </c>
      <c r="R135" s="1">
        <v>0.48</v>
      </c>
      <c r="S135" s="1">
        <f t="shared" si="22"/>
        <v>14.48</v>
      </c>
      <c r="U135" s="1">
        <f t="shared" si="23"/>
        <v>14.48</v>
      </c>
      <c r="V135" s="1">
        <v>0.69</v>
      </c>
      <c r="W135" s="1">
        <v>0.32</v>
      </c>
    </row>
    <row r="136" spans="1:23" x14ac:dyDescent="0.2">
      <c r="B136" s="6" t="s">
        <v>127</v>
      </c>
      <c r="C136" s="12" t="s">
        <v>193</v>
      </c>
      <c r="D136" s="34">
        <v>163</v>
      </c>
      <c r="E136" s="35">
        <v>130</v>
      </c>
      <c r="F136" s="23">
        <f t="shared" si="21"/>
        <v>126.1</v>
      </c>
      <c r="G136" s="24">
        <f t="shared" si="21"/>
        <v>123.5</v>
      </c>
      <c r="H136" s="25">
        <f t="shared" si="21"/>
        <v>122.19999999999999</v>
      </c>
      <c r="J136" s="76">
        <v>163</v>
      </c>
      <c r="K136" s="76">
        <f t="shared" si="24"/>
        <v>163</v>
      </c>
      <c r="L136" s="76">
        <v>130</v>
      </c>
      <c r="M136" s="76">
        <f t="shared" si="25"/>
        <v>130</v>
      </c>
      <c r="N136" s="88">
        <f t="shared" si="26"/>
        <v>0</v>
      </c>
      <c r="P136" s="1">
        <v>82.08</v>
      </c>
      <c r="S136" s="1">
        <f t="shared" si="22"/>
        <v>82.08</v>
      </c>
      <c r="U136" s="1">
        <f t="shared" si="23"/>
        <v>82.08</v>
      </c>
      <c r="V136" s="1">
        <v>0.54</v>
      </c>
      <c r="W136" s="1">
        <v>0.25</v>
      </c>
    </row>
    <row r="137" spans="1:23" x14ac:dyDescent="0.2">
      <c r="B137" s="6" t="s">
        <v>128</v>
      </c>
      <c r="C137" s="12" t="s">
        <v>193</v>
      </c>
      <c r="D137" s="34">
        <v>217</v>
      </c>
      <c r="E137" s="35">
        <v>173</v>
      </c>
      <c r="F137" s="23">
        <f t="shared" si="21"/>
        <v>167.81</v>
      </c>
      <c r="G137" s="24">
        <f t="shared" si="21"/>
        <v>164.35</v>
      </c>
      <c r="H137" s="25">
        <f t="shared" si="21"/>
        <v>162.62</v>
      </c>
      <c r="J137" s="76">
        <v>217</v>
      </c>
      <c r="K137" s="76">
        <f t="shared" si="24"/>
        <v>217</v>
      </c>
      <c r="L137" s="76">
        <v>173</v>
      </c>
      <c r="M137" s="76">
        <f t="shared" si="25"/>
        <v>173</v>
      </c>
      <c r="N137" s="88">
        <f t="shared" si="26"/>
        <v>0</v>
      </c>
      <c r="P137" s="1">
        <v>117.83</v>
      </c>
      <c r="S137" s="1">
        <f t="shared" si="22"/>
        <v>117.83</v>
      </c>
      <c r="U137" s="1">
        <f t="shared" si="23"/>
        <v>117.83</v>
      </c>
      <c r="V137" s="1">
        <v>0.42499999999999999</v>
      </c>
      <c r="W137" s="1">
        <v>0.255</v>
      </c>
    </row>
    <row r="138" spans="1:23" x14ac:dyDescent="0.2">
      <c r="B138" s="6" t="s">
        <v>129</v>
      </c>
      <c r="C138" s="12" t="s">
        <v>193</v>
      </c>
      <c r="D138" s="34">
        <v>193</v>
      </c>
      <c r="E138" s="35">
        <v>154</v>
      </c>
      <c r="F138" s="23">
        <f t="shared" si="21"/>
        <v>149.38</v>
      </c>
      <c r="G138" s="24">
        <f t="shared" si="21"/>
        <v>146.29999999999998</v>
      </c>
      <c r="H138" s="25">
        <f t="shared" si="21"/>
        <v>144.76</v>
      </c>
      <c r="J138" s="76">
        <v>193</v>
      </c>
      <c r="K138" s="76">
        <f t="shared" si="24"/>
        <v>193</v>
      </c>
      <c r="L138" s="76">
        <v>154</v>
      </c>
      <c r="M138" s="76">
        <f t="shared" si="25"/>
        <v>154</v>
      </c>
      <c r="N138" s="88">
        <f t="shared" si="26"/>
        <v>0</v>
      </c>
      <c r="P138" s="1">
        <v>93.74</v>
      </c>
      <c r="R138" s="1">
        <v>3.23</v>
      </c>
      <c r="S138" s="1">
        <f t="shared" si="22"/>
        <v>96.97</v>
      </c>
      <c r="U138" s="1">
        <f t="shared" si="23"/>
        <v>96.97</v>
      </c>
      <c r="V138" s="1">
        <v>0.54100000000000004</v>
      </c>
      <c r="W138" s="1">
        <v>0.255</v>
      </c>
    </row>
    <row r="139" spans="1:23" x14ac:dyDescent="0.2">
      <c r="B139" s="6" t="s">
        <v>130</v>
      </c>
      <c r="C139" s="12" t="s">
        <v>193</v>
      </c>
      <c r="D139" s="34">
        <v>273</v>
      </c>
      <c r="E139" s="35">
        <v>218</v>
      </c>
      <c r="F139" s="23">
        <f t="shared" si="21"/>
        <v>211.46</v>
      </c>
      <c r="G139" s="24">
        <f t="shared" si="21"/>
        <v>207.1</v>
      </c>
      <c r="H139" s="25">
        <f t="shared" si="21"/>
        <v>204.92</v>
      </c>
      <c r="J139" s="76">
        <v>273</v>
      </c>
      <c r="K139" s="76">
        <f t="shared" si="24"/>
        <v>274</v>
      </c>
      <c r="L139" s="76">
        <v>218</v>
      </c>
      <c r="M139" s="76">
        <f t="shared" si="25"/>
        <v>218</v>
      </c>
      <c r="N139" s="88">
        <f t="shared" si="26"/>
        <v>-1</v>
      </c>
      <c r="P139" s="1">
        <v>133.41999999999999</v>
      </c>
      <c r="R139" s="1">
        <v>4.5999999999999996</v>
      </c>
      <c r="S139" s="1">
        <f t="shared" si="22"/>
        <v>138.01999999999998</v>
      </c>
      <c r="U139" s="1">
        <f t="shared" si="23"/>
        <v>138.01999999999998</v>
      </c>
      <c r="V139" s="1">
        <v>0.53300000000000003</v>
      </c>
      <c r="W139" s="1">
        <v>0.255</v>
      </c>
    </row>
    <row r="140" spans="1:23" x14ac:dyDescent="0.2">
      <c r="B140" s="6" t="s">
        <v>131</v>
      </c>
      <c r="C140" s="12" t="s">
        <v>193</v>
      </c>
      <c r="D140" s="34">
        <v>151</v>
      </c>
      <c r="E140" s="35">
        <v>100</v>
      </c>
      <c r="F140" s="23">
        <f t="shared" si="21"/>
        <v>97</v>
      </c>
      <c r="G140" s="24">
        <f t="shared" si="21"/>
        <v>95</v>
      </c>
      <c r="H140" s="25">
        <f t="shared" si="21"/>
        <v>94</v>
      </c>
      <c r="J140" s="76">
        <v>151</v>
      </c>
      <c r="K140" s="76">
        <f t="shared" si="24"/>
        <v>151</v>
      </c>
      <c r="L140" s="76">
        <v>100</v>
      </c>
      <c r="M140" s="76">
        <f t="shared" si="25"/>
        <v>100</v>
      </c>
      <c r="N140" s="88">
        <f t="shared" si="26"/>
        <v>0</v>
      </c>
      <c r="P140" s="1">
        <v>64.59</v>
      </c>
      <c r="S140" s="1">
        <f t="shared" si="22"/>
        <v>64.59</v>
      </c>
      <c r="U140" s="1">
        <f t="shared" si="23"/>
        <v>64.59</v>
      </c>
      <c r="V140" s="1">
        <v>0.502</v>
      </c>
      <c r="W140" s="1">
        <v>0.51</v>
      </c>
    </row>
    <row r="141" spans="1:23" x14ac:dyDescent="0.2">
      <c r="B141" s="6" t="s">
        <v>132</v>
      </c>
      <c r="C141" s="12" t="s">
        <v>193</v>
      </c>
      <c r="D141" s="34">
        <v>38</v>
      </c>
      <c r="E141" s="35">
        <v>25</v>
      </c>
      <c r="F141" s="23">
        <f t="shared" si="21"/>
        <v>24.25</v>
      </c>
      <c r="G141" s="24">
        <f t="shared" si="21"/>
        <v>23.75</v>
      </c>
      <c r="H141" s="25">
        <f t="shared" si="21"/>
        <v>23.5</v>
      </c>
      <c r="J141" s="76">
        <v>38</v>
      </c>
      <c r="K141" s="76">
        <f t="shared" si="24"/>
        <v>38</v>
      </c>
      <c r="L141" s="76">
        <v>25</v>
      </c>
      <c r="M141" s="76">
        <f t="shared" si="25"/>
        <v>25</v>
      </c>
      <c r="N141" s="88">
        <f t="shared" si="26"/>
        <v>0</v>
      </c>
      <c r="P141" s="1">
        <v>13.71</v>
      </c>
      <c r="S141" s="1">
        <f t="shared" si="22"/>
        <v>13.71</v>
      </c>
      <c r="U141" s="1">
        <f t="shared" si="23"/>
        <v>13.71</v>
      </c>
      <c r="V141" s="1">
        <v>0.75</v>
      </c>
      <c r="W141" s="1">
        <v>0.52</v>
      </c>
    </row>
    <row r="142" spans="1:23" x14ac:dyDescent="0.2">
      <c r="B142" s="6" t="s">
        <v>133</v>
      </c>
      <c r="C142" s="12" t="s">
        <v>193</v>
      </c>
      <c r="D142" s="34">
        <v>455</v>
      </c>
      <c r="E142" s="35">
        <v>303</v>
      </c>
      <c r="F142" s="23">
        <f t="shared" si="21"/>
        <v>293.90999999999997</v>
      </c>
      <c r="G142" s="24">
        <f t="shared" si="21"/>
        <v>287.84999999999997</v>
      </c>
      <c r="H142" s="25">
        <f t="shared" si="21"/>
        <v>284.82</v>
      </c>
      <c r="J142" s="76">
        <v>455</v>
      </c>
      <c r="K142" s="76">
        <f t="shared" si="24"/>
        <v>455</v>
      </c>
      <c r="L142" s="76">
        <v>303</v>
      </c>
      <c r="M142" s="76">
        <f t="shared" si="25"/>
        <v>303</v>
      </c>
      <c r="N142" s="88">
        <f t="shared" si="26"/>
        <v>0</v>
      </c>
      <c r="P142" s="1">
        <v>267.73</v>
      </c>
      <c r="S142" s="1">
        <f t="shared" si="22"/>
        <v>267.73</v>
      </c>
      <c r="U142" s="1">
        <f t="shared" si="23"/>
        <v>267.73</v>
      </c>
      <c r="V142" s="1">
        <v>0.1</v>
      </c>
      <c r="W142" s="1">
        <v>0.5</v>
      </c>
    </row>
    <row r="143" spans="1:23" x14ac:dyDescent="0.2">
      <c r="B143" s="6" t="s">
        <v>134</v>
      </c>
      <c r="C143" s="12" t="s">
        <v>194</v>
      </c>
      <c r="D143" s="34">
        <v>79</v>
      </c>
      <c r="E143" s="35">
        <v>60</v>
      </c>
      <c r="F143" s="23">
        <f t="shared" si="21"/>
        <v>58.199999999999996</v>
      </c>
      <c r="G143" s="24">
        <f t="shared" si="21"/>
        <v>57</v>
      </c>
      <c r="H143" s="25">
        <f t="shared" si="21"/>
        <v>56.4</v>
      </c>
      <c r="J143" s="76">
        <v>79</v>
      </c>
      <c r="K143" s="76">
        <f t="shared" si="24"/>
        <v>79</v>
      </c>
      <c r="L143" s="76">
        <v>60</v>
      </c>
      <c r="M143" s="76">
        <f t="shared" si="25"/>
        <v>60</v>
      </c>
      <c r="N143" s="88">
        <f t="shared" si="26"/>
        <v>0</v>
      </c>
      <c r="O143" s="1" t="s">
        <v>311</v>
      </c>
      <c r="P143" s="1">
        <v>39</v>
      </c>
      <c r="S143" s="1">
        <f t="shared" si="22"/>
        <v>39</v>
      </c>
      <c r="U143" s="1">
        <f t="shared" si="23"/>
        <v>39</v>
      </c>
      <c r="V143" s="1">
        <v>0.5</v>
      </c>
      <c r="W143" s="1">
        <v>0.31</v>
      </c>
    </row>
    <row r="144" spans="1:23" x14ac:dyDescent="0.2">
      <c r="B144" s="6" t="s">
        <v>135</v>
      </c>
      <c r="C144" s="12" t="s">
        <v>195</v>
      </c>
      <c r="D144" s="34">
        <v>6</v>
      </c>
      <c r="E144" s="35">
        <v>5</v>
      </c>
      <c r="F144" s="23">
        <f t="shared" si="21"/>
        <v>4.8499999999999996</v>
      </c>
      <c r="G144" s="24">
        <f t="shared" si="21"/>
        <v>4.75</v>
      </c>
      <c r="H144" s="25">
        <f t="shared" si="21"/>
        <v>4.6999999999999993</v>
      </c>
      <c r="J144" s="76">
        <v>6</v>
      </c>
      <c r="K144" s="76">
        <f t="shared" si="24"/>
        <v>0</v>
      </c>
      <c r="L144" s="76">
        <v>5</v>
      </c>
      <c r="M144" s="76">
        <f t="shared" si="25"/>
        <v>0</v>
      </c>
      <c r="N144" s="88">
        <f t="shared" si="26"/>
        <v>11</v>
      </c>
      <c r="P144" s="92"/>
      <c r="Q144" s="92"/>
      <c r="R144" s="92"/>
      <c r="S144" s="1">
        <f t="shared" si="22"/>
        <v>0</v>
      </c>
      <c r="U144" s="1">
        <f t="shared" si="23"/>
        <v>0</v>
      </c>
    </row>
    <row r="145" spans="1:23" x14ac:dyDescent="0.2">
      <c r="A145" s="60"/>
      <c r="B145" s="69" t="s">
        <v>136</v>
      </c>
      <c r="C145" s="12" t="s">
        <v>194</v>
      </c>
      <c r="D145" s="34">
        <v>109</v>
      </c>
      <c r="E145" s="35">
        <v>87</v>
      </c>
      <c r="F145" s="23">
        <f t="shared" si="21"/>
        <v>84.39</v>
      </c>
      <c r="G145" s="24">
        <f t="shared" si="21"/>
        <v>82.649999999999991</v>
      </c>
      <c r="H145" s="25">
        <f t="shared" si="21"/>
        <v>81.78</v>
      </c>
      <c r="J145" s="76">
        <v>109</v>
      </c>
      <c r="K145" s="76">
        <f t="shared" si="24"/>
        <v>109</v>
      </c>
      <c r="L145" s="76">
        <v>87</v>
      </c>
      <c r="M145" s="76">
        <f t="shared" si="25"/>
        <v>87</v>
      </c>
      <c r="N145" s="88">
        <f t="shared" si="26"/>
        <v>0</v>
      </c>
      <c r="O145" s="1" t="s">
        <v>311</v>
      </c>
      <c r="P145" s="1">
        <v>57</v>
      </c>
      <c r="S145" s="1">
        <f t="shared" si="22"/>
        <v>57</v>
      </c>
      <c r="U145" s="1">
        <f t="shared" si="23"/>
        <v>57</v>
      </c>
      <c r="V145" s="1">
        <v>0.48</v>
      </c>
      <c r="W145" s="1">
        <v>0.25</v>
      </c>
    </row>
    <row r="146" spans="1:23" x14ac:dyDescent="0.2">
      <c r="A146" s="60"/>
      <c r="B146" s="69" t="s">
        <v>154</v>
      </c>
      <c r="C146" s="12" t="s">
        <v>188</v>
      </c>
      <c r="D146" s="34">
        <v>89</v>
      </c>
      <c r="E146" s="35">
        <v>71</v>
      </c>
      <c r="F146" s="23">
        <f>$E146*(1-F$1)</f>
        <v>68.87</v>
      </c>
      <c r="G146" s="24">
        <f>$E146*(1-G$1)</f>
        <v>67.45</v>
      </c>
      <c r="H146" s="25">
        <f>$E146*(1-H$1)</f>
        <v>66.739999999999995</v>
      </c>
      <c r="J146" s="76">
        <v>89</v>
      </c>
      <c r="K146" s="76">
        <f t="shared" si="24"/>
        <v>89</v>
      </c>
      <c r="L146" s="76">
        <v>71</v>
      </c>
      <c r="M146" s="76">
        <f t="shared" si="25"/>
        <v>71</v>
      </c>
      <c r="N146" s="88">
        <f t="shared" si="26"/>
        <v>0</v>
      </c>
      <c r="P146" s="1">
        <v>56.95</v>
      </c>
      <c r="S146" s="1">
        <f t="shared" si="22"/>
        <v>56.95</v>
      </c>
      <c r="U146" s="1">
        <f t="shared" si="23"/>
        <v>56.95</v>
      </c>
      <c r="V146" s="1">
        <v>0.21</v>
      </c>
      <c r="W146" s="1">
        <v>0.25</v>
      </c>
    </row>
    <row r="147" spans="1:23" x14ac:dyDescent="0.2">
      <c r="A147" s="20"/>
      <c r="B147" s="2" t="s">
        <v>137</v>
      </c>
      <c r="C147" s="14"/>
      <c r="D147" s="48"/>
      <c r="E147" s="48"/>
      <c r="F147" s="48"/>
      <c r="G147" s="48"/>
      <c r="H147" s="48"/>
      <c r="J147" s="78"/>
      <c r="K147" s="76">
        <f t="shared" si="24"/>
        <v>0</v>
      </c>
      <c r="L147" s="78"/>
      <c r="M147" s="76">
        <f t="shared" si="25"/>
        <v>0</v>
      </c>
      <c r="N147" s="88">
        <f t="shared" si="26"/>
        <v>0</v>
      </c>
      <c r="S147" s="1">
        <f t="shared" si="22"/>
        <v>0</v>
      </c>
      <c r="U147" s="1">
        <f t="shared" si="23"/>
        <v>0</v>
      </c>
    </row>
    <row r="148" spans="1:23" x14ac:dyDescent="0.2">
      <c r="A148" s="61"/>
      <c r="B148" s="8" t="s">
        <v>138</v>
      </c>
      <c r="C148" s="15" t="s">
        <v>188</v>
      </c>
      <c r="D148" s="21">
        <v>27</v>
      </c>
      <c r="E148" s="22">
        <v>20</v>
      </c>
      <c r="F148" s="23">
        <f t="shared" ref="F148:H163" si="27">$E148*(1-F$1)</f>
        <v>19.399999999999999</v>
      </c>
      <c r="G148" s="24">
        <f t="shared" si="27"/>
        <v>19</v>
      </c>
      <c r="H148" s="25">
        <f t="shared" si="27"/>
        <v>18.799999999999997</v>
      </c>
      <c r="J148" s="79">
        <v>27</v>
      </c>
      <c r="K148" s="76">
        <f t="shared" si="24"/>
        <v>27</v>
      </c>
      <c r="L148" s="79">
        <v>20</v>
      </c>
      <c r="M148" s="76">
        <f t="shared" si="25"/>
        <v>21</v>
      </c>
      <c r="N148" s="88">
        <f t="shared" si="26"/>
        <v>-1</v>
      </c>
      <c r="P148" s="1">
        <v>13.74</v>
      </c>
      <c r="R148" s="1">
        <v>0.69</v>
      </c>
      <c r="S148" s="1">
        <f t="shared" si="22"/>
        <v>14.43</v>
      </c>
      <c r="U148" s="1">
        <f t="shared" si="23"/>
        <v>14.43</v>
      </c>
      <c r="V148" s="1">
        <v>0.38</v>
      </c>
      <c r="W148" s="1">
        <v>0.31</v>
      </c>
    </row>
    <row r="149" spans="1:23" x14ac:dyDescent="0.2">
      <c r="B149" s="8" t="s">
        <v>208</v>
      </c>
      <c r="C149" s="15" t="s">
        <v>193</v>
      </c>
      <c r="D149" s="21">
        <v>328</v>
      </c>
      <c r="E149" s="22">
        <v>247</v>
      </c>
      <c r="F149" s="23">
        <f t="shared" si="27"/>
        <v>239.59</v>
      </c>
      <c r="G149" s="24">
        <f t="shared" si="27"/>
        <v>234.64999999999998</v>
      </c>
      <c r="H149" s="25">
        <f t="shared" si="27"/>
        <v>232.17999999999998</v>
      </c>
      <c r="J149" s="79">
        <v>328</v>
      </c>
      <c r="K149" s="76">
        <f t="shared" si="24"/>
        <v>328</v>
      </c>
      <c r="L149" s="79">
        <v>247</v>
      </c>
      <c r="M149" s="76">
        <f t="shared" si="25"/>
        <v>247</v>
      </c>
      <c r="N149" s="88">
        <f t="shared" si="26"/>
        <v>0</v>
      </c>
      <c r="P149" s="1">
        <v>174.31</v>
      </c>
      <c r="S149" s="1">
        <f t="shared" si="22"/>
        <v>174.31</v>
      </c>
      <c r="U149" s="1">
        <f t="shared" si="23"/>
        <v>174.31</v>
      </c>
      <c r="V149" s="1">
        <v>0.377</v>
      </c>
      <c r="W149" s="1">
        <v>0.32500000000000001</v>
      </c>
    </row>
    <row r="150" spans="1:23" x14ac:dyDescent="0.2">
      <c r="B150" s="6" t="s">
        <v>139</v>
      </c>
      <c r="C150" s="12" t="s">
        <v>188</v>
      </c>
      <c r="D150" s="34">
        <v>13</v>
      </c>
      <c r="E150" s="35">
        <v>10</v>
      </c>
      <c r="F150" s="23">
        <f t="shared" si="27"/>
        <v>9.6999999999999993</v>
      </c>
      <c r="G150" s="24">
        <f t="shared" si="27"/>
        <v>9.5</v>
      </c>
      <c r="H150" s="25">
        <f t="shared" si="27"/>
        <v>9.3999999999999986</v>
      </c>
      <c r="J150" s="76">
        <v>13</v>
      </c>
      <c r="K150" s="76">
        <f t="shared" si="24"/>
        <v>14</v>
      </c>
      <c r="L150" s="76">
        <v>10</v>
      </c>
      <c r="M150" s="76">
        <f t="shared" si="25"/>
        <v>10</v>
      </c>
      <c r="N150" s="88">
        <f t="shared" si="26"/>
        <v>-1</v>
      </c>
      <c r="P150" s="1">
        <v>6.04</v>
      </c>
      <c r="S150" s="1">
        <f t="shared" si="22"/>
        <v>6.04</v>
      </c>
      <c r="U150" s="1">
        <f t="shared" si="23"/>
        <v>6.04</v>
      </c>
      <c r="V150" s="1">
        <v>0.68</v>
      </c>
      <c r="W150" s="1">
        <v>0.3</v>
      </c>
    </row>
    <row r="151" spans="1:23" x14ac:dyDescent="0.2">
      <c r="B151" s="6" t="s">
        <v>140</v>
      </c>
      <c r="C151" s="12" t="s">
        <v>188</v>
      </c>
      <c r="D151" s="34">
        <v>18</v>
      </c>
      <c r="E151" s="35">
        <v>14</v>
      </c>
      <c r="F151" s="23">
        <f t="shared" si="27"/>
        <v>13.58</v>
      </c>
      <c r="G151" s="24">
        <f t="shared" si="27"/>
        <v>13.299999999999999</v>
      </c>
      <c r="H151" s="25">
        <f t="shared" si="27"/>
        <v>13.16</v>
      </c>
      <c r="J151" s="76">
        <v>18</v>
      </c>
      <c r="K151" s="76">
        <f t="shared" si="24"/>
        <v>21</v>
      </c>
      <c r="L151" s="76">
        <v>14</v>
      </c>
      <c r="M151" s="76">
        <f t="shared" si="25"/>
        <v>17</v>
      </c>
      <c r="N151" s="91">
        <f t="shared" si="26"/>
        <v>-6</v>
      </c>
      <c r="P151" s="1">
        <v>8.33</v>
      </c>
      <c r="Q151" s="1">
        <v>1.84</v>
      </c>
      <c r="S151" s="1">
        <f t="shared" si="22"/>
        <v>10.17</v>
      </c>
      <c r="U151" s="1">
        <f t="shared" si="23"/>
        <v>10.17</v>
      </c>
      <c r="V151" s="1">
        <v>0.64</v>
      </c>
      <c r="W151" s="1">
        <v>0.25</v>
      </c>
    </row>
    <row r="152" spans="1:23" x14ac:dyDescent="0.2">
      <c r="B152" s="6" t="s">
        <v>141</v>
      </c>
      <c r="C152" s="12" t="s">
        <v>194</v>
      </c>
      <c r="D152" s="34">
        <v>100</v>
      </c>
      <c r="E152" s="35">
        <v>69</v>
      </c>
      <c r="F152" s="23">
        <f t="shared" si="27"/>
        <v>66.929999999999993</v>
      </c>
      <c r="G152" s="24">
        <f t="shared" si="27"/>
        <v>65.55</v>
      </c>
      <c r="H152" s="25">
        <f t="shared" si="27"/>
        <v>64.86</v>
      </c>
      <c r="J152" s="76">
        <v>100</v>
      </c>
      <c r="K152" s="76">
        <f t="shared" si="24"/>
        <v>100</v>
      </c>
      <c r="L152" s="76">
        <v>69</v>
      </c>
      <c r="M152" s="76">
        <f t="shared" si="25"/>
        <v>69</v>
      </c>
      <c r="N152" s="88">
        <f t="shared" si="26"/>
        <v>0</v>
      </c>
      <c r="P152" s="1">
        <v>46</v>
      </c>
      <c r="S152" s="1">
        <f t="shared" si="22"/>
        <v>46</v>
      </c>
      <c r="U152" s="1">
        <f t="shared" si="23"/>
        <v>46</v>
      </c>
      <c r="V152" s="1">
        <v>0.45</v>
      </c>
      <c r="W152" s="1">
        <v>0.46</v>
      </c>
    </row>
    <row r="153" spans="1:23" x14ac:dyDescent="0.2">
      <c r="B153" s="6" t="s">
        <v>142</v>
      </c>
      <c r="C153" s="12" t="s">
        <v>188</v>
      </c>
      <c r="D153" s="34">
        <v>73</v>
      </c>
      <c r="E153" s="35">
        <v>58</v>
      </c>
      <c r="F153" s="23">
        <f t="shared" si="27"/>
        <v>56.26</v>
      </c>
      <c r="G153" s="24">
        <f t="shared" si="27"/>
        <v>55.099999999999994</v>
      </c>
      <c r="H153" s="25">
        <f t="shared" si="27"/>
        <v>54.519999999999996</v>
      </c>
      <c r="J153" s="76">
        <v>73</v>
      </c>
      <c r="K153" s="76">
        <f t="shared" si="24"/>
        <v>73</v>
      </c>
      <c r="L153" s="76">
        <v>58</v>
      </c>
      <c r="M153" s="76">
        <f t="shared" si="25"/>
        <v>57</v>
      </c>
      <c r="N153" s="88">
        <f t="shared" si="26"/>
        <v>1</v>
      </c>
      <c r="P153" s="1">
        <v>39.19</v>
      </c>
      <c r="R153" s="1">
        <v>1.96</v>
      </c>
      <c r="S153" s="1">
        <f t="shared" si="22"/>
        <v>41.15</v>
      </c>
      <c r="U153" s="1">
        <f t="shared" si="23"/>
        <v>41.15</v>
      </c>
      <c r="V153" s="1">
        <v>0.35499999999999998</v>
      </c>
      <c r="W153" s="1">
        <v>0.26500000000000001</v>
      </c>
    </row>
    <row r="154" spans="1:23" x14ac:dyDescent="0.2">
      <c r="B154" s="6" t="s">
        <v>143</v>
      </c>
      <c r="C154" s="12" t="s">
        <v>188</v>
      </c>
      <c r="D154" s="34">
        <v>54</v>
      </c>
      <c r="E154" s="35">
        <v>42</v>
      </c>
      <c r="F154" s="23">
        <f t="shared" si="27"/>
        <v>40.74</v>
      </c>
      <c r="G154" s="24">
        <f t="shared" si="27"/>
        <v>39.9</v>
      </c>
      <c r="H154" s="25">
        <f t="shared" si="27"/>
        <v>39.479999999999997</v>
      </c>
      <c r="J154" s="76">
        <v>54</v>
      </c>
      <c r="K154" s="76">
        <f t="shared" si="24"/>
        <v>54</v>
      </c>
      <c r="L154" s="76">
        <v>42</v>
      </c>
      <c r="M154" s="76">
        <f t="shared" si="25"/>
        <v>42</v>
      </c>
      <c r="N154" s="88">
        <f t="shared" si="26"/>
        <v>0</v>
      </c>
      <c r="P154" s="1">
        <v>27.36</v>
      </c>
      <c r="R154" s="1">
        <v>1.37</v>
      </c>
      <c r="S154" s="1">
        <f t="shared" si="22"/>
        <v>28.73</v>
      </c>
      <c r="U154" s="1">
        <f t="shared" si="23"/>
        <v>28.73</v>
      </c>
      <c r="V154" s="1">
        <v>0.42499999999999999</v>
      </c>
      <c r="W154" s="1">
        <v>0.28000000000000003</v>
      </c>
    </row>
    <row r="155" spans="1:23" x14ac:dyDescent="0.2">
      <c r="B155" s="6" t="s">
        <v>144</v>
      </c>
      <c r="C155" s="12" t="s">
        <v>188</v>
      </c>
      <c r="D155" s="34">
        <v>19</v>
      </c>
      <c r="E155" s="35">
        <v>14</v>
      </c>
      <c r="F155" s="23">
        <f t="shared" si="27"/>
        <v>13.58</v>
      </c>
      <c r="G155" s="24">
        <f t="shared" si="27"/>
        <v>13.299999999999999</v>
      </c>
      <c r="H155" s="25">
        <f t="shared" si="27"/>
        <v>13.16</v>
      </c>
      <c r="J155" s="76">
        <v>19</v>
      </c>
      <c r="K155" s="76">
        <f t="shared" si="24"/>
        <v>19</v>
      </c>
      <c r="L155" s="76">
        <v>14</v>
      </c>
      <c r="M155" s="76">
        <f t="shared" si="25"/>
        <v>14</v>
      </c>
      <c r="N155" s="88">
        <f t="shared" si="26"/>
        <v>0</v>
      </c>
      <c r="P155" s="1">
        <v>9.1300000000000008</v>
      </c>
      <c r="R155" s="1">
        <v>0.46</v>
      </c>
      <c r="S155" s="1">
        <f t="shared" si="22"/>
        <v>9.5900000000000016</v>
      </c>
      <c r="U155" s="1">
        <f t="shared" si="23"/>
        <v>9.5900000000000016</v>
      </c>
      <c r="V155" s="1">
        <v>0.44500000000000001</v>
      </c>
      <c r="W155" s="1">
        <v>0.3</v>
      </c>
    </row>
    <row r="156" spans="1:23" x14ac:dyDescent="0.2">
      <c r="A156" s="61"/>
      <c r="B156" s="6" t="s">
        <v>147</v>
      </c>
      <c r="C156" s="12" t="s">
        <v>188</v>
      </c>
      <c r="D156" s="34">
        <v>12</v>
      </c>
      <c r="E156" s="35">
        <v>7</v>
      </c>
      <c r="F156" s="23">
        <f t="shared" si="27"/>
        <v>6.79</v>
      </c>
      <c r="G156" s="24">
        <f t="shared" si="27"/>
        <v>6.6499999999999995</v>
      </c>
      <c r="H156" s="25">
        <f t="shared" si="27"/>
        <v>6.58</v>
      </c>
      <c r="J156" s="76">
        <v>12</v>
      </c>
      <c r="K156" s="76">
        <f t="shared" si="24"/>
        <v>12</v>
      </c>
      <c r="L156" s="76">
        <v>7</v>
      </c>
      <c r="M156" s="76">
        <f t="shared" si="25"/>
        <v>7</v>
      </c>
      <c r="N156" s="88">
        <f t="shared" si="26"/>
        <v>0</v>
      </c>
      <c r="P156" s="1">
        <v>4.07</v>
      </c>
      <c r="Q156" s="1">
        <v>0.75</v>
      </c>
      <c r="S156" s="1">
        <f t="shared" si="22"/>
        <v>4.82</v>
      </c>
      <c r="U156" s="1">
        <f t="shared" si="23"/>
        <v>4.82</v>
      </c>
      <c r="V156" s="1">
        <v>0.48</v>
      </c>
      <c r="W156" s="1">
        <v>0.64</v>
      </c>
    </row>
    <row r="157" spans="1:23" x14ac:dyDescent="0.2">
      <c r="B157" s="6" t="s">
        <v>148</v>
      </c>
      <c r="C157" s="12" t="s">
        <v>188</v>
      </c>
      <c r="D157" s="34">
        <v>19</v>
      </c>
      <c r="E157" s="35">
        <v>13</v>
      </c>
      <c r="F157" s="23">
        <f t="shared" si="27"/>
        <v>12.61</v>
      </c>
      <c r="G157" s="24">
        <f t="shared" si="27"/>
        <v>12.35</v>
      </c>
      <c r="H157" s="25">
        <f t="shared" si="27"/>
        <v>12.219999999999999</v>
      </c>
      <c r="J157" s="76">
        <v>19</v>
      </c>
      <c r="K157" s="76">
        <f t="shared" si="24"/>
        <v>19</v>
      </c>
      <c r="L157" s="76">
        <v>13</v>
      </c>
      <c r="M157" s="76">
        <f t="shared" si="25"/>
        <v>13</v>
      </c>
      <c r="N157" s="88">
        <f t="shared" si="26"/>
        <v>0</v>
      </c>
      <c r="P157" s="1">
        <v>7.85</v>
      </c>
      <c r="Q157" s="1">
        <v>1</v>
      </c>
      <c r="S157" s="1">
        <f t="shared" si="22"/>
        <v>8.85</v>
      </c>
      <c r="U157" s="1">
        <f t="shared" si="23"/>
        <v>8.85</v>
      </c>
      <c r="V157" s="1">
        <v>0.48</v>
      </c>
      <c r="W157" s="1">
        <v>0.42</v>
      </c>
    </row>
    <row r="158" spans="1:23" x14ac:dyDescent="0.2">
      <c r="B158" s="6" t="s">
        <v>149</v>
      </c>
      <c r="C158" s="12" t="s">
        <v>188</v>
      </c>
      <c r="D158" s="34">
        <v>27</v>
      </c>
      <c r="E158" s="35">
        <v>18</v>
      </c>
      <c r="F158" s="23">
        <f t="shared" si="27"/>
        <v>17.46</v>
      </c>
      <c r="G158" s="24">
        <f t="shared" si="27"/>
        <v>17.099999999999998</v>
      </c>
      <c r="H158" s="25">
        <f t="shared" si="27"/>
        <v>16.919999999999998</v>
      </c>
      <c r="J158" s="76">
        <v>27</v>
      </c>
      <c r="K158" s="76">
        <f t="shared" si="24"/>
        <v>26</v>
      </c>
      <c r="L158" s="76">
        <v>18</v>
      </c>
      <c r="M158" s="76">
        <f t="shared" si="25"/>
        <v>18</v>
      </c>
      <c r="N158" s="88">
        <f t="shared" si="26"/>
        <v>1</v>
      </c>
      <c r="P158" s="1">
        <v>9.9499999999999993</v>
      </c>
      <c r="Q158" s="1">
        <v>1</v>
      </c>
      <c r="S158" s="1">
        <f t="shared" si="22"/>
        <v>10.95</v>
      </c>
      <c r="U158" s="1">
        <f t="shared" si="23"/>
        <v>10.95</v>
      </c>
      <c r="V158" s="1">
        <v>0.56000000000000005</v>
      </c>
      <c r="W158" s="1">
        <v>0.5</v>
      </c>
    </row>
    <row r="159" spans="1:23" x14ac:dyDescent="0.2">
      <c r="B159" s="6" t="s">
        <v>145</v>
      </c>
      <c r="C159" s="12" t="s">
        <v>196</v>
      </c>
      <c r="D159" s="34">
        <v>63</v>
      </c>
      <c r="E159" s="35">
        <v>47</v>
      </c>
      <c r="F159" s="23">
        <f t="shared" si="27"/>
        <v>45.589999999999996</v>
      </c>
      <c r="G159" s="24">
        <f t="shared" si="27"/>
        <v>44.65</v>
      </c>
      <c r="H159" s="25">
        <f t="shared" si="27"/>
        <v>44.18</v>
      </c>
      <c r="J159" s="76">
        <v>63</v>
      </c>
      <c r="K159" s="76">
        <f t="shared" si="24"/>
        <v>60</v>
      </c>
      <c r="L159" s="76">
        <v>47</v>
      </c>
      <c r="M159" s="76">
        <f t="shared" si="25"/>
        <v>46</v>
      </c>
      <c r="N159" s="91">
        <f t="shared" si="26"/>
        <v>4</v>
      </c>
      <c r="P159" s="1">
        <v>24.53</v>
      </c>
      <c r="R159" s="1">
        <v>1.23</v>
      </c>
      <c r="S159" s="1">
        <f t="shared" si="22"/>
        <v>25.76</v>
      </c>
      <c r="U159" s="1">
        <f t="shared" si="23"/>
        <v>25.76</v>
      </c>
      <c r="V159" s="1">
        <v>0.75</v>
      </c>
      <c r="W159" s="1">
        <v>0.3</v>
      </c>
    </row>
    <row r="160" spans="1:23" x14ac:dyDescent="0.2">
      <c r="B160" s="6" t="s">
        <v>146</v>
      </c>
      <c r="C160" s="12" t="s">
        <v>196</v>
      </c>
      <c r="D160" s="34">
        <v>63</v>
      </c>
      <c r="E160" s="35">
        <v>47</v>
      </c>
      <c r="F160" s="23">
        <f t="shared" si="27"/>
        <v>45.589999999999996</v>
      </c>
      <c r="G160" s="24">
        <f t="shared" si="27"/>
        <v>44.65</v>
      </c>
      <c r="H160" s="25">
        <f t="shared" si="27"/>
        <v>44.18</v>
      </c>
      <c r="J160" s="76">
        <v>63</v>
      </c>
      <c r="K160" s="76">
        <f t="shared" si="24"/>
        <v>63</v>
      </c>
      <c r="L160" s="76">
        <v>47</v>
      </c>
      <c r="M160" s="76">
        <f t="shared" si="25"/>
        <v>46</v>
      </c>
      <c r="N160" s="88">
        <f t="shared" si="26"/>
        <v>1</v>
      </c>
      <c r="P160" s="1">
        <v>24.53</v>
      </c>
      <c r="R160" s="1">
        <v>1.23</v>
      </c>
      <c r="S160" s="1">
        <f t="shared" si="22"/>
        <v>25.76</v>
      </c>
      <c r="U160" s="1">
        <f t="shared" si="23"/>
        <v>25.76</v>
      </c>
      <c r="V160" s="1">
        <v>0.75</v>
      </c>
      <c r="W160" s="1">
        <v>0.35</v>
      </c>
    </row>
    <row r="161" spans="1:23" x14ac:dyDescent="0.2">
      <c r="B161" s="6" t="s">
        <v>150</v>
      </c>
      <c r="C161" s="12" t="s">
        <v>188</v>
      </c>
      <c r="D161" s="34">
        <v>172</v>
      </c>
      <c r="E161" s="35">
        <v>118</v>
      </c>
      <c r="F161" s="23">
        <f t="shared" si="27"/>
        <v>114.46</v>
      </c>
      <c r="G161" s="24">
        <f t="shared" si="27"/>
        <v>112.1</v>
      </c>
      <c r="H161" s="25">
        <f t="shared" si="27"/>
        <v>110.91999999999999</v>
      </c>
      <c r="J161" s="76">
        <v>172</v>
      </c>
      <c r="K161" s="76">
        <f t="shared" si="24"/>
        <v>172</v>
      </c>
      <c r="L161" s="76">
        <v>118</v>
      </c>
      <c r="M161" s="76">
        <f t="shared" si="25"/>
        <v>117</v>
      </c>
      <c r="N161" s="88">
        <f t="shared" si="26"/>
        <v>1</v>
      </c>
      <c r="P161" s="1">
        <v>81</v>
      </c>
      <c r="Q161" s="1">
        <v>8.1</v>
      </c>
      <c r="S161" s="1">
        <f t="shared" si="22"/>
        <v>89.1</v>
      </c>
      <c r="U161" s="1">
        <f t="shared" si="23"/>
        <v>89.1</v>
      </c>
      <c r="V161" s="1">
        <v>0.28000000000000003</v>
      </c>
      <c r="W161" s="1">
        <v>0.46</v>
      </c>
    </row>
    <row r="162" spans="1:23" x14ac:dyDescent="0.2">
      <c r="B162" s="6" t="s">
        <v>152</v>
      </c>
      <c r="C162" s="12" t="s">
        <v>188</v>
      </c>
      <c r="D162" s="34">
        <v>324</v>
      </c>
      <c r="E162" s="35">
        <v>233</v>
      </c>
      <c r="F162" s="23">
        <f t="shared" si="27"/>
        <v>226.01</v>
      </c>
      <c r="G162" s="24">
        <f t="shared" si="27"/>
        <v>221.35</v>
      </c>
      <c r="H162" s="25">
        <f t="shared" si="27"/>
        <v>219.01999999999998</v>
      </c>
      <c r="J162" s="76">
        <v>324</v>
      </c>
      <c r="K162" s="76">
        <f t="shared" si="24"/>
        <v>324</v>
      </c>
      <c r="L162" s="76">
        <v>233</v>
      </c>
      <c r="M162" s="76">
        <f t="shared" si="25"/>
        <v>233</v>
      </c>
      <c r="N162" s="88">
        <f t="shared" si="26"/>
        <v>0</v>
      </c>
      <c r="P162" s="1">
        <v>153</v>
      </c>
      <c r="Q162" s="1">
        <v>15.3</v>
      </c>
      <c r="S162" s="1">
        <f t="shared" si="22"/>
        <v>168.3</v>
      </c>
      <c r="U162" s="1">
        <f t="shared" si="23"/>
        <v>168.3</v>
      </c>
      <c r="V162" s="1">
        <v>0.34499999999999997</v>
      </c>
      <c r="W162" s="1">
        <v>0.39</v>
      </c>
    </row>
    <row r="163" spans="1:23" x14ac:dyDescent="0.2">
      <c r="B163" s="6" t="s">
        <v>153</v>
      </c>
      <c r="C163" s="12" t="s">
        <v>188</v>
      </c>
      <c r="D163" s="34">
        <v>113</v>
      </c>
      <c r="E163" s="35">
        <v>78</v>
      </c>
      <c r="F163" s="23">
        <f t="shared" si="27"/>
        <v>75.66</v>
      </c>
      <c r="G163" s="24">
        <f t="shared" si="27"/>
        <v>74.099999999999994</v>
      </c>
      <c r="H163" s="25">
        <f t="shared" si="27"/>
        <v>73.319999999999993</v>
      </c>
      <c r="J163" s="76">
        <v>113</v>
      </c>
      <c r="K163" s="76">
        <f t="shared" si="24"/>
        <v>113</v>
      </c>
      <c r="L163" s="76">
        <v>78</v>
      </c>
      <c r="M163" s="76">
        <f t="shared" si="25"/>
        <v>78</v>
      </c>
      <c r="N163" s="88">
        <f t="shared" si="26"/>
        <v>0</v>
      </c>
      <c r="P163" s="1">
        <v>54</v>
      </c>
      <c r="Q163" s="1">
        <v>5.4</v>
      </c>
      <c r="S163" s="1">
        <f t="shared" si="22"/>
        <v>59.4</v>
      </c>
      <c r="U163" s="1">
        <f t="shared" si="23"/>
        <v>59.4</v>
      </c>
      <c r="V163" s="1">
        <v>0.28000000000000003</v>
      </c>
      <c r="W163" s="1">
        <v>0.44800000000000001</v>
      </c>
    </row>
    <row r="164" spans="1:23" x14ac:dyDescent="0.2">
      <c r="B164" s="6" t="s">
        <v>151</v>
      </c>
      <c r="C164" s="12" t="s">
        <v>188</v>
      </c>
      <c r="D164" s="34">
        <v>238</v>
      </c>
      <c r="E164" s="35">
        <v>164</v>
      </c>
      <c r="F164" s="23">
        <f t="shared" ref="F164:H168" si="28">$E164*(1-F$1)</f>
        <v>159.07999999999998</v>
      </c>
      <c r="G164" s="24">
        <f t="shared" si="28"/>
        <v>155.79999999999998</v>
      </c>
      <c r="H164" s="25">
        <f t="shared" si="28"/>
        <v>154.16</v>
      </c>
      <c r="J164" s="76">
        <v>238</v>
      </c>
      <c r="K164" s="76">
        <f t="shared" si="24"/>
        <v>238</v>
      </c>
      <c r="L164" s="76">
        <v>164</v>
      </c>
      <c r="M164" s="76">
        <f t="shared" si="25"/>
        <v>164</v>
      </c>
      <c r="N164" s="88">
        <f t="shared" si="26"/>
        <v>0</v>
      </c>
      <c r="P164" s="1">
        <v>112</v>
      </c>
      <c r="Q164" s="1">
        <v>11.2</v>
      </c>
      <c r="S164" s="1">
        <f t="shared" si="22"/>
        <v>123.2</v>
      </c>
      <c r="U164" s="1">
        <f t="shared" si="23"/>
        <v>123.2</v>
      </c>
      <c r="V164" s="1">
        <v>0.29499999999999998</v>
      </c>
      <c r="W164" s="1">
        <v>0.45</v>
      </c>
    </row>
    <row r="165" spans="1:23" x14ac:dyDescent="0.2">
      <c r="B165" s="6" t="s">
        <v>201</v>
      </c>
      <c r="C165" s="12" t="s">
        <v>196</v>
      </c>
      <c r="D165" s="34">
        <v>52</v>
      </c>
      <c r="E165" s="35">
        <v>37</v>
      </c>
      <c r="F165" s="23">
        <f t="shared" si="28"/>
        <v>35.89</v>
      </c>
      <c r="G165" s="24">
        <f t="shared" si="28"/>
        <v>35.15</v>
      </c>
      <c r="H165" s="25">
        <f t="shared" si="28"/>
        <v>34.78</v>
      </c>
      <c r="J165" s="76">
        <v>52</v>
      </c>
      <c r="K165" s="76">
        <f t="shared" si="24"/>
        <v>52</v>
      </c>
      <c r="L165" s="76">
        <v>37</v>
      </c>
      <c r="M165" s="76">
        <f t="shared" si="25"/>
        <v>37</v>
      </c>
      <c r="N165" s="88">
        <f t="shared" si="26"/>
        <v>0</v>
      </c>
      <c r="P165" s="1">
        <v>20.66</v>
      </c>
      <c r="R165" s="1">
        <v>1.03</v>
      </c>
      <c r="S165" s="1">
        <f t="shared" si="22"/>
        <v>21.69</v>
      </c>
      <c r="U165" s="1">
        <f t="shared" si="23"/>
        <v>21.69</v>
      </c>
      <c r="V165" s="1">
        <v>0.65</v>
      </c>
      <c r="W165" s="1">
        <v>0.40500000000000003</v>
      </c>
    </row>
    <row r="166" spans="1:23" x14ac:dyDescent="0.2">
      <c r="A166" s="61"/>
      <c r="B166" s="6" t="s">
        <v>202</v>
      </c>
      <c r="C166" s="12" t="s">
        <v>196</v>
      </c>
      <c r="D166" s="34">
        <v>68</v>
      </c>
      <c r="E166" s="35">
        <v>49</v>
      </c>
      <c r="F166" s="23">
        <f t="shared" si="28"/>
        <v>47.53</v>
      </c>
      <c r="G166" s="24">
        <f t="shared" si="28"/>
        <v>46.55</v>
      </c>
      <c r="H166" s="25">
        <f t="shared" si="28"/>
        <v>46.059999999999995</v>
      </c>
      <c r="J166" s="76">
        <v>68</v>
      </c>
      <c r="K166" s="76">
        <f t="shared" si="24"/>
        <v>68</v>
      </c>
      <c r="L166" s="76">
        <v>49</v>
      </c>
      <c r="M166" s="76">
        <f t="shared" si="25"/>
        <v>49</v>
      </c>
      <c r="N166" s="88">
        <f t="shared" si="26"/>
        <v>0</v>
      </c>
      <c r="P166" s="1">
        <v>26.67</v>
      </c>
      <c r="R166" s="1">
        <v>1.33</v>
      </c>
      <c r="S166" s="1">
        <f t="shared" si="22"/>
        <v>28</v>
      </c>
      <c r="U166" s="1">
        <f t="shared" si="23"/>
        <v>28</v>
      </c>
      <c r="V166" s="1">
        <v>0.7</v>
      </c>
      <c r="W166" s="1">
        <v>0.39</v>
      </c>
    </row>
    <row r="167" spans="1:23" x14ac:dyDescent="0.2">
      <c r="B167" s="6" t="s">
        <v>203</v>
      </c>
      <c r="C167" s="12" t="s">
        <v>196</v>
      </c>
      <c r="D167" s="34">
        <v>89</v>
      </c>
      <c r="E167" s="35">
        <v>62</v>
      </c>
      <c r="F167" s="23">
        <f t="shared" si="28"/>
        <v>60.14</v>
      </c>
      <c r="G167" s="24">
        <f t="shared" si="28"/>
        <v>58.9</v>
      </c>
      <c r="H167" s="25">
        <f t="shared" si="28"/>
        <v>58.279999999999994</v>
      </c>
      <c r="J167" s="76">
        <v>89</v>
      </c>
      <c r="K167" s="76">
        <f t="shared" si="24"/>
        <v>89</v>
      </c>
      <c r="L167" s="76">
        <v>62</v>
      </c>
      <c r="M167" s="76">
        <f t="shared" si="25"/>
        <v>62</v>
      </c>
      <c r="N167" s="88">
        <f t="shared" si="26"/>
        <v>0</v>
      </c>
      <c r="P167" s="1">
        <v>33.799999999999997</v>
      </c>
      <c r="R167" s="1">
        <v>1.69</v>
      </c>
      <c r="S167" s="1">
        <f t="shared" si="22"/>
        <v>35.489999999999995</v>
      </c>
      <c r="U167" s="1">
        <f t="shared" si="23"/>
        <v>35.489999999999995</v>
      </c>
      <c r="V167" s="1">
        <v>0.7</v>
      </c>
      <c r="W167" s="1">
        <v>0.435</v>
      </c>
    </row>
    <row r="168" spans="1:23" x14ac:dyDescent="0.2">
      <c r="B168" s="6" t="s">
        <v>204</v>
      </c>
      <c r="C168" s="12" t="s">
        <v>196</v>
      </c>
      <c r="D168" s="34">
        <v>27</v>
      </c>
      <c r="E168" s="35">
        <v>22</v>
      </c>
      <c r="F168" s="23">
        <f t="shared" si="28"/>
        <v>21.34</v>
      </c>
      <c r="G168" s="24">
        <f t="shared" si="28"/>
        <v>20.9</v>
      </c>
      <c r="H168" s="25">
        <f t="shared" si="28"/>
        <v>20.68</v>
      </c>
      <c r="J168" s="76">
        <v>27</v>
      </c>
      <c r="K168" s="76">
        <f t="shared" si="24"/>
        <v>27</v>
      </c>
      <c r="L168" s="76">
        <v>22</v>
      </c>
      <c r="M168" s="76">
        <f t="shared" si="25"/>
        <v>23</v>
      </c>
      <c r="N168" s="88">
        <f t="shared" si="26"/>
        <v>-1</v>
      </c>
      <c r="P168" s="1">
        <v>16.079999999999998</v>
      </c>
      <c r="R168" s="1">
        <v>0.8</v>
      </c>
      <c r="S168" s="1">
        <f t="shared" si="22"/>
        <v>16.88</v>
      </c>
      <c r="U168" s="1">
        <f t="shared" si="23"/>
        <v>16.88</v>
      </c>
      <c r="V168" s="1">
        <v>0.3</v>
      </c>
      <c r="W168" s="1">
        <v>0.2</v>
      </c>
    </row>
    <row r="169" spans="1:23" x14ac:dyDescent="0.2">
      <c r="A169" s="20"/>
      <c r="B169" s="2" t="s">
        <v>229</v>
      </c>
      <c r="C169" s="14"/>
      <c r="D169" s="48"/>
      <c r="E169" s="48"/>
      <c r="F169" s="48"/>
      <c r="G169" s="48"/>
      <c r="H169" s="48"/>
      <c r="J169" s="78"/>
      <c r="K169" s="76">
        <f t="shared" si="24"/>
        <v>0</v>
      </c>
      <c r="L169" s="78"/>
      <c r="M169" s="76">
        <f t="shared" si="25"/>
        <v>0</v>
      </c>
      <c r="N169" s="88">
        <f t="shared" si="26"/>
        <v>0</v>
      </c>
      <c r="S169" s="1">
        <f t="shared" si="22"/>
        <v>0</v>
      </c>
      <c r="U169" s="1">
        <f t="shared" si="23"/>
        <v>0</v>
      </c>
    </row>
    <row r="170" spans="1:23" x14ac:dyDescent="0.2">
      <c r="A170" s="61"/>
      <c r="B170" s="6" t="s">
        <v>155</v>
      </c>
      <c r="C170" s="12" t="s">
        <v>188</v>
      </c>
      <c r="D170" s="34">
        <v>107.65</v>
      </c>
      <c r="E170" s="35">
        <v>69.16</v>
      </c>
      <c r="F170" s="23">
        <f t="shared" ref="F170:H179" si="29">$E170*(1-F$1)</f>
        <v>67.0852</v>
      </c>
      <c r="G170" s="24">
        <f t="shared" si="29"/>
        <v>65.701999999999998</v>
      </c>
      <c r="H170" s="25">
        <f t="shared" si="29"/>
        <v>65.01039999999999</v>
      </c>
      <c r="J170" s="76">
        <v>107.65</v>
      </c>
      <c r="K170" s="76">
        <f t="shared" si="24"/>
        <v>110</v>
      </c>
      <c r="L170" s="76">
        <v>69.16</v>
      </c>
      <c r="M170" s="76">
        <f t="shared" si="25"/>
        <v>69</v>
      </c>
      <c r="N170" s="91">
        <f t="shared" si="26"/>
        <v>-2.1899999999999977</v>
      </c>
      <c r="O170" s="1" t="s">
        <v>300</v>
      </c>
      <c r="P170" s="1">
        <v>43.6</v>
      </c>
      <c r="Q170" s="1">
        <v>4.3600000000000003</v>
      </c>
      <c r="S170" s="1">
        <f t="shared" si="22"/>
        <v>47.96</v>
      </c>
      <c r="U170" s="1">
        <f t="shared" si="23"/>
        <v>47.96</v>
      </c>
      <c r="V170" s="1">
        <v>0.39500000000000002</v>
      </c>
      <c r="W170" s="1">
        <v>0.6</v>
      </c>
    </row>
    <row r="171" spans="1:23" x14ac:dyDescent="0.2">
      <c r="B171" s="6" t="s">
        <v>156</v>
      </c>
      <c r="C171" s="12" t="s">
        <v>188</v>
      </c>
      <c r="D171" s="34">
        <v>31.55</v>
      </c>
      <c r="E171" s="35">
        <v>20.27</v>
      </c>
      <c r="F171" s="23">
        <f t="shared" si="29"/>
        <v>19.661899999999999</v>
      </c>
      <c r="G171" s="24">
        <f t="shared" si="29"/>
        <v>19.256499999999999</v>
      </c>
      <c r="H171" s="25">
        <f t="shared" si="29"/>
        <v>19.053799999999999</v>
      </c>
      <c r="J171" s="76">
        <v>31.55</v>
      </c>
      <c r="K171" s="76">
        <f t="shared" si="24"/>
        <v>31</v>
      </c>
      <c r="L171" s="76">
        <v>20.27</v>
      </c>
      <c r="M171" s="76">
        <f t="shared" si="25"/>
        <v>21</v>
      </c>
      <c r="N171" s="91">
        <f t="shared" si="26"/>
        <v>-0.17999999999999972</v>
      </c>
      <c r="O171" s="1" t="s">
        <v>300</v>
      </c>
      <c r="P171" s="1">
        <v>12.78</v>
      </c>
      <c r="Q171" s="1">
        <v>1.28</v>
      </c>
      <c r="S171" s="1">
        <f t="shared" si="22"/>
        <v>14.059999999999999</v>
      </c>
      <c r="U171" s="1">
        <f t="shared" si="23"/>
        <v>14.059999999999999</v>
      </c>
      <c r="V171" s="1">
        <v>0.44</v>
      </c>
      <c r="W171" s="1">
        <v>0.5</v>
      </c>
    </row>
    <row r="172" spans="1:23" x14ac:dyDescent="0.2">
      <c r="B172" s="6" t="s">
        <v>157</v>
      </c>
      <c r="C172" s="12" t="s">
        <v>188</v>
      </c>
      <c r="D172" s="34">
        <v>135.69999999999999</v>
      </c>
      <c r="E172" s="35">
        <v>87.18</v>
      </c>
      <c r="F172" s="23">
        <f t="shared" si="29"/>
        <v>84.564599999999999</v>
      </c>
      <c r="G172" s="24">
        <f t="shared" si="29"/>
        <v>82.820999999999998</v>
      </c>
      <c r="H172" s="25">
        <f t="shared" si="29"/>
        <v>81.949200000000005</v>
      </c>
      <c r="J172" s="76">
        <v>135.69999999999999</v>
      </c>
      <c r="K172" s="76">
        <f t="shared" si="24"/>
        <v>127</v>
      </c>
      <c r="L172" s="76">
        <v>87.18</v>
      </c>
      <c r="M172" s="76">
        <f t="shared" si="25"/>
        <v>79</v>
      </c>
      <c r="N172" s="91">
        <f t="shared" si="26"/>
        <v>16.879999999999995</v>
      </c>
      <c r="O172" s="1" t="s">
        <v>300</v>
      </c>
      <c r="P172" s="1">
        <v>50.48</v>
      </c>
      <c r="Q172" s="1">
        <v>5.05</v>
      </c>
      <c r="S172" s="1">
        <f t="shared" si="22"/>
        <v>55.529999999999994</v>
      </c>
      <c r="U172" s="1">
        <f t="shared" si="23"/>
        <v>55.529999999999994</v>
      </c>
      <c r="V172" s="1">
        <v>0.38300000000000001</v>
      </c>
      <c r="W172" s="1">
        <v>0.6</v>
      </c>
    </row>
    <row r="173" spans="1:23" x14ac:dyDescent="0.2">
      <c r="B173" s="6" t="s">
        <v>158</v>
      </c>
      <c r="C173" s="12" t="s">
        <v>188</v>
      </c>
      <c r="D173" s="34">
        <v>93.95</v>
      </c>
      <c r="E173" s="35">
        <v>60.35</v>
      </c>
      <c r="F173" s="23">
        <f t="shared" si="29"/>
        <v>58.539499999999997</v>
      </c>
      <c r="G173" s="24">
        <f t="shared" si="29"/>
        <v>57.332499999999996</v>
      </c>
      <c r="H173" s="25">
        <f t="shared" si="29"/>
        <v>56.728999999999999</v>
      </c>
      <c r="J173" s="76">
        <v>93.95</v>
      </c>
      <c r="K173" s="76">
        <f t="shared" si="24"/>
        <v>96</v>
      </c>
      <c r="L173" s="76">
        <v>60.35</v>
      </c>
      <c r="M173" s="76">
        <f t="shared" si="25"/>
        <v>60</v>
      </c>
      <c r="N173" s="91">
        <f t="shared" si="26"/>
        <v>-1.6999999999999957</v>
      </c>
      <c r="O173" s="1" t="s">
        <v>300</v>
      </c>
      <c r="P173" s="1">
        <v>38.049999999999997</v>
      </c>
      <c r="Q173" s="1">
        <v>3.81</v>
      </c>
      <c r="S173" s="1">
        <f t="shared" si="22"/>
        <v>41.86</v>
      </c>
      <c r="U173" s="1">
        <f t="shared" si="23"/>
        <v>41.86</v>
      </c>
      <c r="V173" s="1">
        <v>0.39500000000000002</v>
      </c>
      <c r="W173" s="1">
        <v>0.6</v>
      </c>
    </row>
    <row r="174" spans="1:23" x14ac:dyDescent="0.2">
      <c r="B174" s="6" t="s">
        <v>159</v>
      </c>
      <c r="C174" s="12" t="s">
        <v>188</v>
      </c>
      <c r="D174" s="34">
        <v>55.7</v>
      </c>
      <c r="E174" s="35">
        <v>35.78</v>
      </c>
      <c r="F174" s="23">
        <f t="shared" si="29"/>
        <v>34.706600000000002</v>
      </c>
      <c r="G174" s="24">
        <f t="shared" si="29"/>
        <v>33.991</v>
      </c>
      <c r="H174" s="25">
        <f t="shared" si="29"/>
        <v>33.633200000000002</v>
      </c>
      <c r="J174" s="76">
        <v>55.7</v>
      </c>
      <c r="K174" s="76">
        <f t="shared" si="24"/>
        <v>57</v>
      </c>
      <c r="L174" s="76">
        <v>35.78</v>
      </c>
      <c r="M174" s="76">
        <f t="shared" si="25"/>
        <v>36</v>
      </c>
      <c r="N174" s="91">
        <f t="shared" si="26"/>
        <v>-1.519999999999996</v>
      </c>
      <c r="O174" s="1" t="s">
        <v>300</v>
      </c>
      <c r="P174" s="1">
        <v>22.565000000000001</v>
      </c>
      <c r="Q174" s="1">
        <v>2.2599999999999998</v>
      </c>
      <c r="S174" s="1">
        <f t="shared" si="22"/>
        <v>24.825000000000003</v>
      </c>
      <c r="U174" s="1">
        <f t="shared" si="23"/>
        <v>24.825000000000003</v>
      </c>
      <c r="V174" s="1">
        <v>0.39500000000000002</v>
      </c>
      <c r="W174" s="1">
        <v>0.6</v>
      </c>
    </row>
    <row r="175" spans="1:23" x14ac:dyDescent="0.2">
      <c r="B175" s="6" t="s">
        <v>160</v>
      </c>
      <c r="C175" s="12" t="s">
        <v>188</v>
      </c>
      <c r="D175" s="34">
        <v>85.75</v>
      </c>
      <c r="E175" s="35">
        <v>55.09</v>
      </c>
      <c r="F175" s="23">
        <f t="shared" si="29"/>
        <v>53.4373</v>
      </c>
      <c r="G175" s="24">
        <f t="shared" si="29"/>
        <v>52.335500000000003</v>
      </c>
      <c r="H175" s="25">
        <f t="shared" si="29"/>
        <v>51.784599999999998</v>
      </c>
      <c r="J175" s="76">
        <v>85.75</v>
      </c>
      <c r="K175" s="76">
        <f t="shared" si="24"/>
        <v>88</v>
      </c>
      <c r="L175" s="76">
        <v>55.09</v>
      </c>
      <c r="M175" s="76">
        <f t="shared" si="25"/>
        <v>55</v>
      </c>
      <c r="N175" s="91">
        <f t="shared" si="26"/>
        <v>-2.1599999999999966</v>
      </c>
      <c r="O175" s="1" t="s">
        <v>300</v>
      </c>
      <c r="P175" s="1">
        <v>34.729999999999997</v>
      </c>
      <c r="Q175" s="1">
        <v>3.47</v>
      </c>
      <c r="S175" s="1">
        <f t="shared" si="22"/>
        <v>38.199999999999996</v>
      </c>
      <c r="U175" s="1">
        <f t="shared" si="23"/>
        <v>38.199999999999996</v>
      </c>
      <c r="V175" s="1">
        <v>0.39500000000000002</v>
      </c>
      <c r="W175" s="1">
        <v>0.6</v>
      </c>
    </row>
    <row r="176" spans="1:23" x14ac:dyDescent="0.2">
      <c r="B176" s="8" t="s">
        <v>161</v>
      </c>
      <c r="C176" s="15" t="s">
        <v>188</v>
      </c>
      <c r="D176" s="21">
        <v>48.55</v>
      </c>
      <c r="E176" s="22">
        <v>31.19</v>
      </c>
      <c r="F176" s="23">
        <f t="shared" si="29"/>
        <v>30.254300000000001</v>
      </c>
      <c r="G176" s="24">
        <f t="shared" si="29"/>
        <v>29.630500000000001</v>
      </c>
      <c r="H176" s="25">
        <f t="shared" si="29"/>
        <v>29.3186</v>
      </c>
      <c r="J176" s="79">
        <v>48.55</v>
      </c>
      <c r="K176" s="76">
        <f t="shared" si="24"/>
        <v>51</v>
      </c>
      <c r="L176" s="79">
        <v>31.19</v>
      </c>
      <c r="M176" s="76">
        <f t="shared" si="25"/>
        <v>32</v>
      </c>
      <c r="N176" s="91">
        <f t="shared" si="26"/>
        <v>-3.2600000000000016</v>
      </c>
      <c r="O176" s="1" t="s">
        <v>300</v>
      </c>
      <c r="P176" s="1">
        <v>19.66</v>
      </c>
      <c r="Q176" s="1">
        <v>1.97</v>
      </c>
      <c r="S176" s="1">
        <f t="shared" si="22"/>
        <v>21.63</v>
      </c>
      <c r="U176" s="1">
        <f t="shared" si="23"/>
        <v>21.63</v>
      </c>
      <c r="V176" s="1">
        <v>0.42499999999999999</v>
      </c>
      <c r="W176" s="1">
        <v>0.6</v>
      </c>
    </row>
    <row r="177" spans="1:23" x14ac:dyDescent="0.2">
      <c r="B177" s="8" t="s">
        <v>209</v>
      </c>
      <c r="C177" s="15" t="s">
        <v>188</v>
      </c>
      <c r="D177" s="21">
        <v>555.15</v>
      </c>
      <c r="E177" s="22">
        <v>356.63</v>
      </c>
      <c r="F177" s="23">
        <f t="shared" si="29"/>
        <v>345.93109999999996</v>
      </c>
      <c r="G177" s="24">
        <f t="shared" si="29"/>
        <v>338.79849999999999</v>
      </c>
      <c r="H177" s="25">
        <f t="shared" si="29"/>
        <v>335.23219999999998</v>
      </c>
      <c r="J177" s="79">
        <v>555.15</v>
      </c>
      <c r="K177" s="76">
        <f t="shared" si="24"/>
        <v>551</v>
      </c>
      <c r="L177" s="79">
        <v>356.63</v>
      </c>
      <c r="M177" s="76">
        <f t="shared" si="25"/>
        <v>393</v>
      </c>
      <c r="N177" s="91">
        <f t="shared" si="26"/>
        <v>-32.220000000000027</v>
      </c>
      <c r="O177" s="1" t="s">
        <v>300</v>
      </c>
      <c r="P177" s="1">
        <v>224.84</v>
      </c>
      <c r="Q177" s="1">
        <v>22.48</v>
      </c>
      <c r="S177" s="1">
        <f t="shared" si="22"/>
        <v>247.32</v>
      </c>
      <c r="U177" s="1">
        <f t="shared" si="23"/>
        <v>247.32</v>
      </c>
      <c r="V177" s="1">
        <v>0.54400000000000004</v>
      </c>
      <c r="W177" s="1">
        <v>0.4</v>
      </c>
    </row>
    <row r="178" spans="1:23" x14ac:dyDescent="0.2">
      <c r="B178" s="6" t="s">
        <v>162</v>
      </c>
      <c r="C178" s="12" t="s">
        <v>188</v>
      </c>
      <c r="D178" s="34">
        <v>394.95</v>
      </c>
      <c r="E178" s="35">
        <v>253.72</v>
      </c>
      <c r="F178" s="23">
        <f t="shared" si="29"/>
        <v>246.10839999999999</v>
      </c>
      <c r="G178" s="24">
        <f t="shared" si="29"/>
        <v>241.03399999999999</v>
      </c>
      <c r="H178" s="25">
        <f t="shared" si="29"/>
        <v>238.49679999999998</v>
      </c>
      <c r="J178" s="76">
        <v>394.95</v>
      </c>
      <c r="K178" s="76">
        <f t="shared" si="24"/>
        <v>401</v>
      </c>
      <c r="L178" s="76">
        <v>253.72</v>
      </c>
      <c r="M178" s="76">
        <f t="shared" si="25"/>
        <v>250</v>
      </c>
      <c r="N178" s="91">
        <f t="shared" si="26"/>
        <v>-2.3300000000000125</v>
      </c>
      <c r="O178" s="1" t="s">
        <v>300</v>
      </c>
      <c r="P178" s="1">
        <v>159.94999999999999</v>
      </c>
      <c r="Q178" s="1">
        <v>16</v>
      </c>
      <c r="S178" s="1">
        <f t="shared" si="22"/>
        <v>175.95</v>
      </c>
      <c r="U178" s="1">
        <f t="shared" si="23"/>
        <v>175.95</v>
      </c>
      <c r="V178" s="1">
        <v>0.38200000000000001</v>
      </c>
      <c r="W178" s="1">
        <v>0.6</v>
      </c>
    </row>
    <row r="179" spans="1:23" x14ac:dyDescent="0.2">
      <c r="A179" s="60"/>
      <c r="B179" s="6" t="s">
        <v>163</v>
      </c>
      <c r="C179" s="12" t="s">
        <v>188</v>
      </c>
      <c r="D179" s="34">
        <v>120.85</v>
      </c>
      <c r="E179" s="35">
        <v>77.64</v>
      </c>
      <c r="F179" s="23">
        <f t="shared" si="29"/>
        <v>75.3108</v>
      </c>
      <c r="G179" s="24">
        <f t="shared" si="29"/>
        <v>73.757999999999996</v>
      </c>
      <c r="H179" s="25">
        <f t="shared" si="29"/>
        <v>72.9816</v>
      </c>
      <c r="J179" s="76">
        <v>120.85</v>
      </c>
      <c r="K179" s="76">
        <f t="shared" si="24"/>
        <v>127</v>
      </c>
      <c r="L179" s="76">
        <v>77.64</v>
      </c>
      <c r="M179" s="76">
        <f t="shared" si="25"/>
        <v>80</v>
      </c>
      <c r="N179" s="91">
        <f t="shared" si="26"/>
        <v>-8.5100000000000051</v>
      </c>
      <c r="O179" s="1" t="s">
        <v>300</v>
      </c>
      <c r="P179" s="1">
        <v>48.94</v>
      </c>
      <c r="Q179" s="1">
        <v>4.8899999999999997</v>
      </c>
      <c r="S179" s="1">
        <f t="shared" si="22"/>
        <v>53.83</v>
      </c>
      <c r="U179" s="1">
        <f t="shared" si="23"/>
        <v>53.83</v>
      </c>
      <c r="V179" s="1">
        <v>0.434</v>
      </c>
      <c r="W179" s="1">
        <v>0.6</v>
      </c>
    </row>
    <row r="180" spans="1:23" x14ac:dyDescent="0.2">
      <c r="A180" s="60"/>
      <c r="B180" s="6" t="s">
        <v>230</v>
      </c>
      <c r="C180" s="12" t="s">
        <v>188</v>
      </c>
      <c r="D180" s="34">
        <v>56.14</v>
      </c>
      <c r="E180" s="35">
        <v>39.299999999999997</v>
      </c>
      <c r="F180" s="23">
        <v>39.299999999999997</v>
      </c>
      <c r="G180" s="24">
        <v>39.299999999999997</v>
      </c>
      <c r="H180" s="25">
        <v>39.299999999999997</v>
      </c>
      <c r="J180" s="76">
        <v>56.14</v>
      </c>
      <c r="K180" s="76">
        <f t="shared" si="24"/>
        <v>0</v>
      </c>
      <c r="L180" s="76">
        <v>39.299999999999997</v>
      </c>
      <c r="M180" s="76">
        <f t="shared" si="25"/>
        <v>0</v>
      </c>
      <c r="N180" s="91">
        <f t="shared" si="26"/>
        <v>95.44</v>
      </c>
      <c r="S180" s="1">
        <f t="shared" si="22"/>
        <v>0</v>
      </c>
      <c r="U180" s="1">
        <f t="shared" si="23"/>
        <v>0</v>
      </c>
    </row>
    <row r="181" spans="1:23" x14ac:dyDescent="0.2">
      <c r="A181" s="20"/>
      <c r="B181" s="2" t="s">
        <v>164</v>
      </c>
      <c r="C181" s="14"/>
      <c r="D181" s="48"/>
      <c r="E181" s="48"/>
      <c r="F181" s="48"/>
      <c r="G181" s="48"/>
      <c r="H181" s="48"/>
      <c r="J181" s="78"/>
      <c r="K181" s="76">
        <f t="shared" si="24"/>
        <v>0</v>
      </c>
      <c r="L181" s="78"/>
      <c r="M181" s="76">
        <f t="shared" si="25"/>
        <v>0</v>
      </c>
      <c r="N181" s="88">
        <f t="shared" si="26"/>
        <v>0</v>
      </c>
      <c r="S181" s="1">
        <f t="shared" si="22"/>
        <v>0</v>
      </c>
      <c r="U181" s="1">
        <f t="shared" si="23"/>
        <v>0</v>
      </c>
    </row>
    <row r="182" spans="1:23" x14ac:dyDescent="0.2">
      <c r="A182" s="61"/>
      <c r="B182" s="7" t="s">
        <v>252</v>
      </c>
      <c r="C182" s="13" t="s">
        <v>188</v>
      </c>
      <c r="D182" s="36">
        <v>33</v>
      </c>
      <c r="E182" s="37">
        <v>26</v>
      </c>
      <c r="F182" s="23">
        <f t="shared" ref="F182:H191" si="30">$E182*(1-F$1)</f>
        <v>25.22</v>
      </c>
      <c r="G182" s="24">
        <f t="shared" si="30"/>
        <v>24.7</v>
      </c>
      <c r="H182" s="25">
        <f t="shared" si="30"/>
        <v>24.439999999999998</v>
      </c>
      <c r="J182" s="77">
        <v>33</v>
      </c>
      <c r="K182" s="76">
        <f t="shared" si="24"/>
        <v>33</v>
      </c>
      <c r="L182" s="77">
        <v>26</v>
      </c>
      <c r="M182" s="76">
        <f t="shared" si="25"/>
        <v>26</v>
      </c>
      <c r="N182" s="88">
        <f t="shared" si="26"/>
        <v>0</v>
      </c>
      <c r="P182" s="1">
        <v>15.55</v>
      </c>
      <c r="Q182" s="1">
        <v>2.08</v>
      </c>
      <c r="S182" s="1">
        <f t="shared" si="22"/>
        <v>17.630000000000003</v>
      </c>
      <c r="U182" s="1">
        <f t="shared" si="23"/>
        <v>17.630000000000003</v>
      </c>
      <c r="V182" s="1">
        <v>0.41</v>
      </c>
      <c r="W182" s="1">
        <v>0.28000000000000003</v>
      </c>
    </row>
    <row r="183" spans="1:23" x14ac:dyDescent="0.2">
      <c r="B183" s="6" t="s">
        <v>165</v>
      </c>
      <c r="C183" s="12" t="s">
        <v>188</v>
      </c>
      <c r="D183" s="34">
        <v>1.4</v>
      </c>
      <c r="E183" s="35">
        <v>1.2</v>
      </c>
      <c r="F183" s="23">
        <f t="shared" si="30"/>
        <v>1.1639999999999999</v>
      </c>
      <c r="G183" s="24">
        <f t="shared" si="30"/>
        <v>1.1399999999999999</v>
      </c>
      <c r="H183" s="25">
        <f t="shared" si="30"/>
        <v>1.1279999999999999</v>
      </c>
      <c r="J183" s="76">
        <v>1.4</v>
      </c>
      <c r="K183" s="76">
        <f t="shared" si="24"/>
        <v>2</v>
      </c>
      <c r="L183" s="76">
        <v>1.2</v>
      </c>
      <c r="M183" s="76">
        <f t="shared" si="25"/>
        <v>1</v>
      </c>
      <c r="N183" s="88">
        <f t="shared" si="26"/>
        <v>-0.40000000000000013</v>
      </c>
      <c r="P183" s="1">
        <v>0.87</v>
      </c>
      <c r="S183" s="1">
        <f t="shared" si="22"/>
        <v>0.87</v>
      </c>
      <c r="U183" s="1">
        <f t="shared" si="23"/>
        <v>0.87</v>
      </c>
      <c r="V183" s="1">
        <v>0.5</v>
      </c>
      <c r="W183" s="1">
        <v>0.2</v>
      </c>
    </row>
    <row r="184" spans="1:23" x14ac:dyDescent="0.2">
      <c r="B184" s="8" t="s">
        <v>166</v>
      </c>
      <c r="C184" s="15" t="s">
        <v>188</v>
      </c>
      <c r="D184" s="21">
        <v>8.8000000000000007</v>
      </c>
      <c r="E184" s="22">
        <v>7</v>
      </c>
      <c r="F184" s="23">
        <f t="shared" si="30"/>
        <v>6.79</v>
      </c>
      <c r="G184" s="24">
        <f t="shared" si="30"/>
        <v>6.6499999999999995</v>
      </c>
      <c r="H184" s="25">
        <f t="shared" si="30"/>
        <v>6.58</v>
      </c>
      <c r="J184" s="79">
        <v>8.8000000000000007</v>
      </c>
      <c r="K184" s="76">
        <f t="shared" si="24"/>
        <v>9</v>
      </c>
      <c r="L184" s="79">
        <v>7</v>
      </c>
      <c r="M184" s="76">
        <f t="shared" si="25"/>
        <v>7</v>
      </c>
      <c r="N184" s="88">
        <f t="shared" si="26"/>
        <v>-0.19999999999999929</v>
      </c>
      <c r="P184" s="1">
        <v>4.75</v>
      </c>
      <c r="S184" s="1">
        <f t="shared" si="22"/>
        <v>4.75</v>
      </c>
      <c r="U184" s="1">
        <f t="shared" si="23"/>
        <v>4.75</v>
      </c>
      <c r="V184" s="1">
        <v>0.4</v>
      </c>
      <c r="W184" s="1">
        <v>0.27</v>
      </c>
    </row>
    <row r="185" spans="1:23" x14ac:dyDescent="0.2">
      <c r="B185" s="6" t="s">
        <v>167</v>
      </c>
      <c r="C185" s="12" t="s">
        <v>188</v>
      </c>
      <c r="D185" s="34">
        <v>11.4</v>
      </c>
      <c r="E185" s="35">
        <v>9.6</v>
      </c>
      <c r="F185" s="23">
        <f t="shared" si="30"/>
        <v>9.3119999999999994</v>
      </c>
      <c r="G185" s="24">
        <f t="shared" si="30"/>
        <v>9.1199999999999992</v>
      </c>
      <c r="H185" s="25">
        <f t="shared" si="30"/>
        <v>9.0239999999999991</v>
      </c>
      <c r="J185" s="76">
        <v>11.4</v>
      </c>
      <c r="K185" s="76">
        <f t="shared" si="24"/>
        <v>11</v>
      </c>
      <c r="L185" s="76">
        <v>9.6</v>
      </c>
      <c r="M185" s="76">
        <f t="shared" si="25"/>
        <v>10</v>
      </c>
      <c r="N185" s="88">
        <f t="shared" si="26"/>
        <v>0</v>
      </c>
      <c r="P185" s="1">
        <v>6.15</v>
      </c>
      <c r="S185" s="1">
        <f t="shared" si="22"/>
        <v>6.15</v>
      </c>
      <c r="U185" s="1">
        <f t="shared" si="23"/>
        <v>6.15</v>
      </c>
      <c r="V185" s="1">
        <v>0.51</v>
      </c>
      <c r="W185" s="1">
        <v>0.18</v>
      </c>
    </row>
    <row r="186" spans="1:23" x14ac:dyDescent="0.2">
      <c r="B186" s="6" t="s">
        <v>168</v>
      </c>
      <c r="C186" s="12" t="s">
        <v>188</v>
      </c>
      <c r="D186" s="34">
        <v>4.5999999999999996</v>
      </c>
      <c r="E186" s="35">
        <v>4</v>
      </c>
      <c r="F186" s="23">
        <f t="shared" si="30"/>
        <v>3.88</v>
      </c>
      <c r="G186" s="24">
        <f t="shared" si="30"/>
        <v>3.8</v>
      </c>
      <c r="H186" s="25">
        <f t="shared" si="30"/>
        <v>3.76</v>
      </c>
      <c r="J186" s="76">
        <v>4.5999999999999996</v>
      </c>
      <c r="K186" s="76">
        <f t="shared" si="24"/>
        <v>4</v>
      </c>
      <c r="L186" s="76">
        <v>4</v>
      </c>
      <c r="M186" s="76">
        <f t="shared" si="25"/>
        <v>4</v>
      </c>
      <c r="N186" s="88">
        <f t="shared" si="26"/>
        <v>0.59999999999999964</v>
      </c>
      <c r="P186" s="1">
        <v>3.1</v>
      </c>
      <c r="S186" s="1">
        <f t="shared" si="22"/>
        <v>3.1</v>
      </c>
      <c r="U186" s="1">
        <f t="shared" si="23"/>
        <v>3.1</v>
      </c>
      <c r="V186" s="1">
        <v>0.24</v>
      </c>
      <c r="W186" s="1">
        <v>0.12</v>
      </c>
    </row>
    <row r="187" spans="1:23" x14ac:dyDescent="0.2">
      <c r="B187" s="6" t="s">
        <v>169</v>
      </c>
      <c r="C187" s="12" t="s">
        <v>188</v>
      </c>
      <c r="D187" s="34">
        <v>5.2</v>
      </c>
      <c r="E187" s="35">
        <v>4.4000000000000004</v>
      </c>
      <c r="F187" s="23">
        <f t="shared" si="30"/>
        <v>4.2679999999999998</v>
      </c>
      <c r="G187" s="24">
        <f t="shared" si="30"/>
        <v>4.18</v>
      </c>
      <c r="H187" s="25">
        <f t="shared" si="30"/>
        <v>4.1360000000000001</v>
      </c>
      <c r="J187" s="76">
        <v>5.2</v>
      </c>
      <c r="K187" s="76">
        <f t="shared" si="24"/>
        <v>5</v>
      </c>
      <c r="L187" s="76">
        <v>4.4000000000000004</v>
      </c>
      <c r="M187" s="76">
        <f t="shared" si="25"/>
        <v>5</v>
      </c>
      <c r="N187" s="88">
        <f t="shared" si="26"/>
        <v>-0.39999999999999947</v>
      </c>
      <c r="P187" s="1">
        <v>3.05</v>
      </c>
      <c r="S187" s="1">
        <f t="shared" si="22"/>
        <v>3.05</v>
      </c>
      <c r="U187" s="1">
        <f t="shared" si="23"/>
        <v>3.05</v>
      </c>
      <c r="V187" s="1">
        <v>0.45</v>
      </c>
      <c r="W187" s="1">
        <v>0.15</v>
      </c>
    </row>
    <row r="188" spans="1:23" x14ac:dyDescent="0.2">
      <c r="B188" s="6" t="s">
        <v>170</v>
      </c>
      <c r="C188" s="12" t="s">
        <v>188</v>
      </c>
      <c r="D188" s="34">
        <v>4</v>
      </c>
      <c r="E188" s="35">
        <v>3.4</v>
      </c>
      <c r="F188" s="23">
        <f t="shared" si="30"/>
        <v>3.298</v>
      </c>
      <c r="G188" s="24">
        <f t="shared" si="30"/>
        <v>3.23</v>
      </c>
      <c r="H188" s="25">
        <f t="shared" si="30"/>
        <v>3.1959999999999997</v>
      </c>
      <c r="J188" s="76">
        <v>4</v>
      </c>
      <c r="K188" s="76">
        <f t="shared" si="24"/>
        <v>4</v>
      </c>
      <c r="L188" s="76">
        <v>3.4</v>
      </c>
      <c r="M188" s="76">
        <f t="shared" si="25"/>
        <v>3</v>
      </c>
      <c r="N188" s="88">
        <f t="shared" si="26"/>
        <v>0.39999999999999991</v>
      </c>
      <c r="P188" s="1">
        <v>2.2999999999999998</v>
      </c>
      <c r="S188" s="1">
        <f t="shared" si="22"/>
        <v>2.2999999999999998</v>
      </c>
      <c r="U188" s="1">
        <f t="shared" si="23"/>
        <v>2.2999999999999998</v>
      </c>
      <c r="V188" s="1">
        <v>0.4</v>
      </c>
      <c r="W188" s="1">
        <v>0.18</v>
      </c>
    </row>
    <row r="189" spans="1:23" x14ac:dyDescent="0.2">
      <c r="B189" s="6" t="s">
        <v>171</v>
      </c>
      <c r="C189" s="12" t="s">
        <v>188</v>
      </c>
      <c r="D189" s="34">
        <v>3.6</v>
      </c>
      <c r="E189" s="35">
        <v>3</v>
      </c>
      <c r="F189" s="23">
        <f t="shared" si="30"/>
        <v>2.91</v>
      </c>
      <c r="G189" s="24">
        <f t="shared" si="30"/>
        <v>2.8499999999999996</v>
      </c>
      <c r="H189" s="25">
        <f t="shared" si="30"/>
        <v>2.82</v>
      </c>
      <c r="J189" s="76">
        <v>3.6</v>
      </c>
      <c r="K189" s="76">
        <f t="shared" si="24"/>
        <v>3</v>
      </c>
      <c r="L189" s="76">
        <v>3</v>
      </c>
      <c r="M189" s="76">
        <f t="shared" si="25"/>
        <v>3</v>
      </c>
      <c r="N189" s="88">
        <f t="shared" si="26"/>
        <v>0.60000000000000009</v>
      </c>
      <c r="P189" s="1">
        <v>2.3199999999999998</v>
      </c>
      <c r="S189" s="1">
        <f t="shared" si="22"/>
        <v>2.3199999999999998</v>
      </c>
      <c r="U189" s="1">
        <f t="shared" si="23"/>
        <v>2.3199999999999998</v>
      </c>
      <c r="V189" s="1">
        <v>0.25</v>
      </c>
      <c r="W189" s="1">
        <v>0.15</v>
      </c>
    </row>
    <row r="190" spans="1:23" x14ac:dyDescent="0.2">
      <c r="B190" s="6" t="s">
        <v>172</v>
      </c>
      <c r="C190" s="12" t="s">
        <v>188</v>
      </c>
      <c r="D190" s="34">
        <v>11.8</v>
      </c>
      <c r="E190" s="35">
        <v>10.199999999999999</v>
      </c>
      <c r="F190" s="23">
        <f t="shared" si="30"/>
        <v>9.8939999999999984</v>
      </c>
      <c r="G190" s="24">
        <f t="shared" si="30"/>
        <v>9.69</v>
      </c>
      <c r="H190" s="25">
        <f t="shared" si="30"/>
        <v>9.5879999999999992</v>
      </c>
      <c r="J190" s="76">
        <v>11.8</v>
      </c>
      <c r="K190" s="76">
        <f t="shared" si="24"/>
        <v>12</v>
      </c>
      <c r="L190" s="76">
        <v>10.199999999999999</v>
      </c>
      <c r="M190" s="76">
        <f t="shared" si="25"/>
        <v>10</v>
      </c>
      <c r="N190" s="88">
        <f t="shared" si="26"/>
        <v>0</v>
      </c>
      <c r="P190" s="1">
        <v>6.7</v>
      </c>
      <c r="S190" s="1">
        <f t="shared" si="22"/>
        <v>6.7</v>
      </c>
      <c r="U190" s="1">
        <f t="shared" si="23"/>
        <v>6.7</v>
      </c>
      <c r="V190" s="1">
        <v>0.47</v>
      </c>
      <c r="W190" s="1">
        <v>0.15</v>
      </c>
    </row>
    <row r="191" spans="1:23" x14ac:dyDescent="0.2">
      <c r="A191" s="60"/>
      <c r="B191" s="6" t="s">
        <v>173</v>
      </c>
      <c r="C191" s="12" t="s">
        <v>188</v>
      </c>
      <c r="D191" s="34">
        <v>19.600000000000001</v>
      </c>
      <c r="E191" s="35">
        <v>17</v>
      </c>
      <c r="F191" s="23">
        <f t="shared" si="30"/>
        <v>16.489999999999998</v>
      </c>
      <c r="G191" s="24">
        <f t="shared" si="30"/>
        <v>16.149999999999999</v>
      </c>
      <c r="H191" s="25">
        <f t="shared" si="30"/>
        <v>15.979999999999999</v>
      </c>
      <c r="J191" s="76">
        <v>19.600000000000001</v>
      </c>
      <c r="K191" s="76">
        <f t="shared" si="24"/>
        <v>20</v>
      </c>
      <c r="L191" s="76">
        <v>17</v>
      </c>
      <c r="M191" s="76">
        <f t="shared" si="25"/>
        <v>17</v>
      </c>
      <c r="N191" s="88">
        <f t="shared" si="26"/>
        <v>-0.39999999999999858</v>
      </c>
      <c r="P191" s="1">
        <v>13.8</v>
      </c>
      <c r="S191" s="1">
        <f t="shared" si="22"/>
        <v>13.8</v>
      </c>
      <c r="U191" s="1">
        <f t="shared" si="23"/>
        <v>13.8</v>
      </c>
      <c r="V191" s="1">
        <v>0.2</v>
      </c>
      <c r="W191" s="1">
        <v>0.15</v>
      </c>
    </row>
    <row r="192" spans="1:23" x14ac:dyDescent="0.2">
      <c r="A192" s="20"/>
      <c r="B192" s="2" t="s">
        <v>231</v>
      </c>
      <c r="C192" s="14"/>
      <c r="D192" s="48"/>
      <c r="E192" s="48"/>
      <c r="F192" s="48"/>
      <c r="G192" s="48"/>
      <c r="H192" s="48"/>
      <c r="J192" s="78"/>
      <c r="K192" s="76">
        <f t="shared" si="24"/>
        <v>0</v>
      </c>
      <c r="L192" s="78"/>
      <c r="M192" s="76">
        <f t="shared" si="25"/>
        <v>0</v>
      </c>
      <c r="N192" s="88">
        <f t="shared" si="26"/>
        <v>0</v>
      </c>
      <c r="S192" s="1">
        <f t="shared" si="22"/>
        <v>0</v>
      </c>
      <c r="U192" s="1">
        <f t="shared" si="23"/>
        <v>0</v>
      </c>
    </row>
    <row r="193" spans="1:21" x14ac:dyDescent="0.2">
      <c r="A193" s="61"/>
      <c r="B193" s="8" t="s">
        <v>232</v>
      </c>
      <c r="C193" s="13" t="s">
        <v>188</v>
      </c>
      <c r="D193" s="21">
        <v>96.98</v>
      </c>
      <c r="E193" s="22">
        <v>80.819999999999993</v>
      </c>
      <c r="F193" s="23">
        <v>80.819999999999993</v>
      </c>
      <c r="G193" s="24">
        <v>80.819999999999993</v>
      </c>
      <c r="H193" s="25">
        <v>80.819999999999993</v>
      </c>
      <c r="J193" s="79">
        <v>96.98</v>
      </c>
      <c r="K193" s="76">
        <f t="shared" si="24"/>
        <v>0</v>
      </c>
      <c r="L193" s="79">
        <v>80.819999999999993</v>
      </c>
      <c r="M193" s="76">
        <f t="shared" si="25"/>
        <v>0</v>
      </c>
      <c r="N193" s="88">
        <f t="shared" si="26"/>
        <v>177.8</v>
      </c>
      <c r="S193" s="1">
        <f t="shared" si="22"/>
        <v>0</v>
      </c>
      <c r="U193" s="1">
        <f t="shared" si="23"/>
        <v>0</v>
      </c>
    </row>
    <row r="194" spans="1:21" x14ac:dyDescent="0.2">
      <c r="A194" s="61"/>
      <c r="B194" s="8" t="s">
        <v>233</v>
      </c>
      <c r="C194" s="12" t="s">
        <v>188</v>
      </c>
      <c r="D194" s="21">
        <v>118.28</v>
      </c>
      <c r="E194" s="22">
        <v>98.57</v>
      </c>
      <c r="F194" s="23">
        <v>98.57</v>
      </c>
      <c r="G194" s="24">
        <v>98.57</v>
      </c>
      <c r="H194" s="25">
        <v>98.57</v>
      </c>
      <c r="J194" s="79">
        <v>118.28</v>
      </c>
      <c r="K194" s="76">
        <f t="shared" si="24"/>
        <v>0</v>
      </c>
      <c r="L194" s="79">
        <v>98.57</v>
      </c>
      <c r="M194" s="76">
        <f t="shared" si="25"/>
        <v>0</v>
      </c>
      <c r="N194" s="88">
        <f t="shared" si="26"/>
        <v>216.85</v>
      </c>
      <c r="S194" s="1">
        <f t="shared" si="22"/>
        <v>0</v>
      </c>
      <c r="U194" s="1">
        <f t="shared" si="23"/>
        <v>0</v>
      </c>
    </row>
    <row r="195" spans="1:21" x14ac:dyDescent="0.2">
      <c r="A195" s="61"/>
      <c r="B195" s="8" t="s">
        <v>234</v>
      </c>
      <c r="C195" s="15" t="s">
        <v>188</v>
      </c>
      <c r="D195" s="21">
        <v>101.15</v>
      </c>
      <c r="E195" s="22">
        <v>84.29</v>
      </c>
      <c r="F195" s="23">
        <v>84.29</v>
      </c>
      <c r="G195" s="24">
        <v>84.29</v>
      </c>
      <c r="H195" s="25">
        <v>84.29</v>
      </c>
      <c r="J195" s="79">
        <v>101.15</v>
      </c>
      <c r="K195" s="76">
        <f t="shared" si="24"/>
        <v>0</v>
      </c>
      <c r="L195" s="79">
        <v>84.29</v>
      </c>
      <c r="M195" s="76">
        <f t="shared" si="25"/>
        <v>0</v>
      </c>
      <c r="N195" s="88">
        <f t="shared" si="26"/>
        <v>185.44</v>
      </c>
      <c r="S195" s="1">
        <f t="shared" si="22"/>
        <v>0</v>
      </c>
      <c r="U195" s="1">
        <f t="shared" si="23"/>
        <v>0</v>
      </c>
    </row>
    <row r="196" spans="1:21" x14ac:dyDescent="0.2">
      <c r="A196" s="61"/>
      <c r="B196" s="8" t="s">
        <v>235</v>
      </c>
      <c r="C196" s="12" t="s">
        <v>188</v>
      </c>
      <c r="D196" s="21">
        <v>6.37</v>
      </c>
      <c r="E196" s="22">
        <v>5.31</v>
      </c>
      <c r="F196" s="23">
        <v>5.31</v>
      </c>
      <c r="G196" s="24">
        <v>5.31</v>
      </c>
      <c r="H196" s="25">
        <v>5.31</v>
      </c>
      <c r="J196" s="79">
        <v>6.37</v>
      </c>
      <c r="K196" s="76">
        <f t="shared" si="24"/>
        <v>0</v>
      </c>
      <c r="L196" s="79">
        <v>5.31</v>
      </c>
      <c r="M196" s="76">
        <f t="shared" si="25"/>
        <v>0</v>
      </c>
      <c r="N196" s="88">
        <f t="shared" si="26"/>
        <v>11.68</v>
      </c>
      <c r="S196" s="1">
        <f t="shared" si="22"/>
        <v>0</v>
      </c>
      <c r="U196" s="1">
        <f t="shared" si="23"/>
        <v>0</v>
      </c>
    </row>
    <row r="197" spans="1:21" x14ac:dyDescent="0.2">
      <c r="A197" s="61"/>
      <c r="B197" s="8" t="s">
        <v>236</v>
      </c>
      <c r="C197" s="12" t="s">
        <v>188</v>
      </c>
      <c r="D197" s="21">
        <v>6.37</v>
      </c>
      <c r="E197" s="22">
        <v>5.31</v>
      </c>
      <c r="F197" s="23">
        <v>5.31</v>
      </c>
      <c r="G197" s="24">
        <v>5.31</v>
      </c>
      <c r="H197" s="25">
        <v>5.31</v>
      </c>
      <c r="J197" s="79">
        <v>6.37</v>
      </c>
      <c r="K197" s="76">
        <f t="shared" si="24"/>
        <v>0</v>
      </c>
      <c r="L197" s="79">
        <v>5.31</v>
      </c>
      <c r="M197" s="76">
        <f t="shared" si="25"/>
        <v>0</v>
      </c>
      <c r="N197" s="88">
        <f t="shared" si="26"/>
        <v>11.68</v>
      </c>
      <c r="S197" s="1">
        <f t="shared" ref="S197:S223" si="31">SUM(P197:R197)</f>
        <v>0</v>
      </c>
      <c r="U197" s="1">
        <f t="shared" ref="U197:U223" si="32">+S197*(1+T197)</f>
        <v>0</v>
      </c>
    </row>
    <row r="198" spans="1:21" x14ac:dyDescent="0.2">
      <c r="A198" s="61"/>
      <c r="B198" s="8" t="s">
        <v>237</v>
      </c>
      <c r="C198" s="12" t="s">
        <v>188</v>
      </c>
      <c r="D198" s="21">
        <v>18.18</v>
      </c>
      <c r="E198" s="22">
        <v>15.15</v>
      </c>
      <c r="F198" s="23">
        <v>15.15</v>
      </c>
      <c r="G198" s="24">
        <v>15.15</v>
      </c>
      <c r="H198" s="25">
        <v>15.15</v>
      </c>
      <c r="J198" s="79">
        <v>18.18</v>
      </c>
      <c r="K198" s="76">
        <f t="shared" ref="K198:K223" si="33">ROUND(+U198*(1+V198)*(1+W198)*(1+$P$1),0)</f>
        <v>0</v>
      </c>
      <c r="L198" s="79">
        <v>15.15</v>
      </c>
      <c r="M198" s="76">
        <f t="shared" ref="M198:M223" si="34">ROUND(+U198*(1+V198)*(1+$P$1),0)</f>
        <v>0</v>
      </c>
      <c r="N198" s="88">
        <f t="shared" ref="N198:N223" si="35">+J198-K198+L198-M198</f>
        <v>33.33</v>
      </c>
      <c r="S198" s="1">
        <f t="shared" si="31"/>
        <v>0</v>
      </c>
      <c r="U198" s="1">
        <f t="shared" si="32"/>
        <v>0</v>
      </c>
    </row>
    <row r="199" spans="1:21" x14ac:dyDescent="0.2">
      <c r="A199" s="61"/>
      <c r="B199" s="8" t="s">
        <v>238</v>
      </c>
      <c r="C199" s="12" t="s">
        <v>188</v>
      </c>
      <c r="D199" s="21">
        <v>10.67</v>
      </c>
      <c r="E199" s="22">
        <v>8.89</v>
      </c>
      <c r="F199" s="23">
        <v>8.89</v>
      </c>
      <c r="G199" s="24">
        <v>8.89</v>
      </c>
      <c r="H199" s="25">
        <v>8.89</v>
      </c>
      <c r="J199" s="79">
        <v>10.67</v>
      </c>
      <c r="K199" s="76">
        <f t="shared" si="33"/>
        <v>0</v>
      </c>
      <c r="L199" s="79">
        <v>8.89</v>
      </c>
      <c r="M199" s="76">
        <f t="shared" si="34"/>
        <v>0</v>
      </c>
      <c r="N199" s="88">
        <f t="shared" si="35"/>
        <v>19.560000000000002</v>
      </c>
      <c r="S199" s="1">
        <f t="shared" si="31"/>
        <v>0</v>
      </c>
      <c r="U199" s="1">
        <f t="shared" si="32"/>
        <v>0</v>
      </c>
    </row>
    <row r="200" spans="1:21" x14ac:dyDescent="0.2">
      <c r="A200" s="61"/>
      <c r="B200" s="8" t="s">
        <v>245</v>
      </c>
      <c r="C200" s="12" t="s">
        <v>188</v>
      </c>
      <c r="D200" s="21">
        <v>9.61</v>
      </c>
      <c r="E200" s="22">
        <v>8.01</v>
      </c>
      <c r="F200" s="23">
        <v>8.01</v>
      </c>
      <c r="G200" s="24">
        <v>8.01</v>
      </c>
      <c r="H200" s="25">
        <v>8.01</v>
      </c>
      <c r="J200" s="79">
        <v>9.61</v>
      </c>
      <c r="K200" s="76">
        <f t="shared" si="33"/>
        <v>0</v>
      </c>
      <c r="L200" s="79">
        <v>8.01</v>
      </c>
      <c r="M200" s="76">
        <f t="shared" si="34"/>
        <v>0</v>
      </c>
      <c r="N200" s="88">
        <f t="shared" si="35"/>
        <v>17.619999999999997</v>
      </c>
      <c r="S200" s="1">
        <f t="shared" si="31"/>
        <v>0</v>
      </c>
      <c r="U200" s="1">
        <f t="shared" si="32"/>
        <v>0</v>
      </c>
    </row>
    <row r="201" spans="1:21" x14ac:dyDescent="0.2">
      <c r="A201" s="61"/>
      <c r="B201" s="8" t="s">
        <v>246</v>
      </c>
      <c r="C201" s="12" t="s">
        <v>188</v>
      </c>
      <c r="D201" s="21">
        <v>13.13</v>
      </c>
      <c r="E201" s="22">
        <v>10.94</v>
      </c>
      <c r="F201" s="23">
        <v>10.94</v>
      </c>
      <c r="G201" s="24">
        <v>10.94</v>
      </c>
      <c r="H201" s="25">
        <v>10.94</v>
      </c>
      <c r="J201" s="79">
        <v>13.13</v>
      </c>
      <c r="K201" s="76">
        <f t="shared" si="33"/>
        <v>0</v>
      </c>
      <c r="L201" s="79">
        <v>10.94</v>
      </c>
      <c r="M201" s="76">
        <f t="shared" si="34"/>
        <v>0</v>
      </c>
      <c r="N201" s="88">
        <f t="shared" si="35"/>
        <v>24.07</v>
      </c>
      <c r="S201" s="1">
        <f t="shared" si="31"/>
        <v>0</v>
      </c>
      <c r="U201" s="1">
        <f t="shared" si="32"/>
        <v>0</v>
      </c>
    </row>
    <row r="202" spans="1:21" x14ac:dyDescent="0.2">
      <c r="A202" s="61"/>
      <c r="B202" s="8" t="s">
        <v>247</v>
      </c>
      <c r="C202" s="12" t="s">
        <v>188</v>
      </c>
      <c r="D202" s="21">
        <v>7.74</v>
      </c>
      <c r="E202" s="22">
        <v>6.45</v>
      </c>
      <c r="F202" s="23">
        <v>6.45</v>
      </c>
      <c r="G202" s="24">
        <v>6.45</v>
      </c>
      <c r="H202" s="25">
        <v>6.45</v>
      </c>
      <c r="J202" s="79">
        <v>7.74</v>
      </c>
      <c r="K202" s="76">
        <f t="shared" si="33"/>
        <v>0</v>
      </c>
      <c r="L202" s="79">
        <v>6.45</v>
      </c>
      <c r="M202" s="76">
        <f t="shared" si="34"/>
        <v>0</v>
      </c>
      <c r="N202" s="88">
        <f t="shared" si="35"/>
        <v>14.190000000000001</v>
      </c>
      <c r="S202" s="1">
        <f t="shared" si="31"/>
        <v>0</v>
      </c>
      <c r="U202" s="1">
        <f t="shared" si="32"/>
        <v>0</v>
      </c>
    </row>
    <row r="203" spans="1:21" x14ac:dyDescent="0.2">
      <c r="A203" s="61"/>
      <c r="B203" s="8" t="s">
        <v>244</v>
      </c>
      <c r="C203" s="12" t="s">
        <v>188</v>
      </c>
      <c r="D203" s="21">
        <v>28.28</v>
      </c>
      <c r="E203" s="22">
        <v>23.57</v>
      </c>
      <c r="F203" s="23">
        <v>23.57</v>
      </c>
      <c r="G203" s="24">
        <v>23.57</v>
      </c>
      <c r="H203" s="25">
        <v>23.57</v>
      </c>
      <c r="J203" s="79">
        <v>28.28</v>
      </c>
      <c r="K203" s="76">
        <f t="shared" si="33"/>
        <v>0</v>
      </c>
      <c r="L203" s="79">
        <v>23.57</v>
      </c>
      <c r="M203" s="76">
        <f t="shared" si="34"/>
        <v>0</v>
      </c>
      <c r="N203" s="88">
        <f t="shared" si="35"/>
        <v>51.85</v>
      </c>
      <c r="S203" s="1">
        <f t="shared" si="31"/>
        <v>0</v>
      </c>
      <c r="U203" s="1">
        <f t="shared" si="32"/>
        <v>0</v>
      </c>
    </row>
    <row r="204" spans="1:21" x14ac:dyDescent="0.2">
      <c r="A204" s="61"/>
      <c r="B204" s="8" t="s">
        <v>243</v>
      </c>
      <c r="C204" s="12" t="s">
        <v>188</v>
      </c>
      <c r="D204" s="21">
        <v>19.21</v>
      </c>
      <c r="E204" s="22">
        <v>16.010000000000002</v>
      </c>
      <c r="F204" s="23">
        <v>16.010000000000002</v>
      </c>
      <c r="G204" s="24">
        <v>16.010000000000002</v>
      </c>
      <c r="H204" s="25">
        <v>16.010000000000002</v>
      </c>
      <c r="J204" s="79">
        <v>19.21</v>
      </c>
      <c r="K204" s="76">
        <f t="shared" si="33"/>
        <v>0</v>
      </c>
      <c r="L204" s="79">
        <v>16.010000000000002</v>
      </c>
      <c r="M204" s="76">
        <f t="shared" si="34"/>
        <v>0</v>
      </c>
      <c r="N204" s="88">
        <f t="shared" si="35"/>
        <v>35.22</v>
      </c>
      <c r="S204" s="1">
        <f t="shared" si="31"/>
        <v>0</v>
      </c>
      <c r="U204" s="1">
        <f t="shared" si="32"/>
        <v>0</v>
      </c>
    </row>
    <row r="205" spans="1:21" x14ac:dyDescent="0.2">
      <c r="A205" s="61"/>
      <c r="B205" s="8" t="s">
        <v>242</v>
      </c>
      <c r="C205" s="12" t="s">
        <v>188</v>
      </c>
      <c r="D205" s="21">
        <v>34.06</v>
      </c>
      <c r="E205" s="22">
        <v>28.38</v>
      </c>
      <c r="F205" s="23">
        <v>28.38</v>
      </c>
      <c r="G205" s="24">
        <v>28.38</v>
      </c>
      <c r="H205" s="25">
        <v>28.28</v>
      </c>
      <c r="J205" s="79">
        <v>34.06</v>
      </c>
      <c r="K205" s="76">
        <f t="shared" si="33"/>
        <v>0</v>
      </c>
      <c r="L205" s="79">
        <v>28.38</v>
      </c>
      <c r="M205" s="76">
        <f t="shared" si="34"/>
        <v>0</v>
      </c>
      <c r="N205" s="88">
        <f t="shared" si="35"/>
        <v>62.44</v>
      </c>
      <c r="S205" s="1">
        <f t="shared" si="31"/>
        <v>0</v>
      </c>
      <c r="U205" s="1">
        <f t="shared" si="32"/>
        <v>0</v>
      </c>
    </row>
    <row r="206" spans="1:21" x14ac:dyDescent="0.2">
      <c r="A206" s="61"/>
      <c r="B206" s="8" t="s">
        <v>239</v>
      </c>
      <c r="C206" s="12" t="s">
        <v>188</v>
      </c>
      <c r="D206" s="21">
        <v>3.7</v>
      </c>
      <c r="E206" s="22">
        <v>3.08</v>
      </c>
      <c r="F206" s="23">
        <v>3.08</v>
      </c>
      <c r="G206" s="24">
        <v>3.08</v>
      </c>
      <c r="H206" s="25">
        <v>3.08</v>
      </c>
      <c r="J206" s="79">
        <v>3.7</v>
      </c>
      <c r="K206" s="76">
        <f t="shared" si="33"/>
        <v>0</v>
      </c>
      <c r="L206" s="79">
        <v>3.08</v>
      </c>
      <c r="M206" s="76">
        <f t="shared" si="34"/>
        <v>0</v>
      </c>
      <c r="N206" s="88">
        <f t="shared" si="35"/>
        <v>6.78</v>
      </c>
      <c r="S206" s="1">
        <f t="shared" si="31"/>
        <v>0</v>
      </c>
      <c r="U206" s="1">
        <f t="shared" si="32"/>
        <v>0</v>
      </c>
    </row>
    <row r="207" spans="1:21" x14ac:dyDescent="0.2">
      <c r="A207" s="61"/>
      <c r="B207" s="8" t="s">
        <v>241</v>
      </c>
      <c r="C207" s="12" t="s">
        <v>188</v>
      </c>
      <c r="D207" s="21">
        <v>7.97</v>
      </c>
      <c r="E207" s="22">
        <v>6.64</v>
      </c>
      <c r="F207" s="23">
        <v>6.64</v>
      </c>
      <c r="G207" s="24">
        <v>6.64</v>
      </c>
      <c r="H207" s="25">
        <v>6.64</v>
      </c>
      <c r="J207" s="79">
        <v>7.97</v>
      </c>
      <c r="K207" s="76">
        <f t="shared" si="33"/>
        <v>0</v>
      </c>
      <c r="L207" s="79">
        <v>6.64</v>
      </c>
      <c r="M207" s="76">
        <f t="shared" si="34"/>
        <v>0</v>
      </c>
      <c r="N207" s="88">
        <f t="shared" si="35"/>
        <v>14.61</v>
      </c>
      <c r="S207" s="1">
        <f t="shared" si="31"/>
        <v>0</v>
      </c>
      <c r="U207" s="1">
        <f t="shared" si="32"/>
        <v>0</v>
      </c>
    </row>
    <row r="208" spans="1:21" x14ac:dyDescent="0.2">
      <c r="A208" s="61"/>
      <c r="B208" s="8" t="s">
        <v>240</v>
      </c>
      <c r="C208" s="12" t="s">
        <v>188</v>
      </c>
      <c r="D208" s="21">
        <v>13.13</v>
      </c>
      <c r="E208" s="22">
        <v>10.94</v>
      </c>
      <c r="F208" s="23">
        <v>10.94</v>
      </c>
      <c r="G208" s="24">
        <v>10.94</v>
      </c>
      <c r="H208" s="25">
        <v>10.94</v>
      </c>
      <c r="J208" s="79">
        <v>13.13</v>
      </c>
      <c r="K208" s="76">
        <f t="shared" si="33"/>
        <v>0</v>
      </c>
      <c r="L208" s="79">
        <v>10.94</v>
      </c>
      <c r="M208" s="76">
        <f t="shared" si="34"/>
        <v>0</v>
      </c>
      <c r="N208" s="88">
        <f t="shared" si="35"/>
        <v>24.07</v>
      </c>
      <c r="S208" s="1">
        <f t="shared" si="31"/>
        <v>0</v>
      </c>
      <c r="U208" s="1">
        <f t="shared" si="32"/>
        <v>0</v>
      </c>
    </row>
    <row r="209" spans="1:23" x14ac:dyDescent="0.2">
      <c r="A209" s="20"/>
      <c r="B209" s="2" t="s">
        <v>174</v>
      </c>
      <c r="C209" s="14"/>
      <c r="D209" s="48"/>
      <c r="E209" s="48"/>
      <c r="F209" s="48"/>
      <c r="G209" s="48"/>
      <c r="H209" s="48"/>
      <c r="J209" s="78"/>
      <c r="K209" s="76">
        <f t="shared" si="33"/>
        <v>0</v>
      </c>
      <c r="L209" s="78"/>
      <c r="M209" s="76">
        <f t="shared" si="34"/>
        <v>0</v>
      </c>
      <c r="N209" s="88">
        <f t="shared" si="35"/>
        <v>0</v>
      </c>
      <c r="S209" s="1">
        <f t="shared" si="31"/>
        <v>0</v>
      </c>
      <c r="U209" s="1">
        <f t="shared" si="32"/>
        <v>0</v>
      </c>
    </row>
    <row r="210" spans="1:23" x14ac:dyDescent="0.2">
      <c r="A210" s="61"/>
      <c r="B210" s="8" t="s">
        <v>179</v>
      </c>
      <c r="C210" s="15" t="s">
        <v>196</v>
      </c>
      <c r="D210" s="21">
        <v>167</v>
      </c>
      <c r="E210" s="22">
        <v>133</v>
      </c>
      <c r="F210" s="23">
        <f t="shared" ref="F210:H217" si="36">$E210*(1-F$1)</f>
        <v>129.01</v>
      </c>
      <c r="G210" s="24">
        <f t="shared" si="36"/>
        <v>126.35</v>
      </c>
      <c r="H210" s="25">
        <f t="shared" si="36"/>
        <v>125.02</v>
      </c>
      <c r="J210" s="79">
        <v>167</v>
      </c>
      <c r="K210" s="76">
        <f t="shared" si="33"/>
        <v>167</v>
      </c>
      <c r="L210" s="79">
        <v>133</v>
      </c>
      <c r="M210" s="76">
        <f t="shared" si="34"/>
        <v>133</v>
      </c>
      <c r="N210" s="88">
        <f t="shared" si="35"/>
        <v>0</v>
      </c>
      <c r="O210" s="1" t="s">
        <v>299</v>
      </c>
      <c r="P210" s="1">
        <v>95</v>
      </c>
      <c r="S210" s="1">
        <f t="shared" si="31"/>
        <v>95</v>
      </c>
      <c r="U210" s="1">
        <f t="shared" si="32"/>
        <v>95</v>
      </c>
      <c r="V210" s="1">
        <v>0.36199999999999999</v>
      </c>
      <c r="W210" s="1">
        <v>0.25</v>
      </c>
    </row>
    <row r="211" spans="1:23" x14ac:dyDescent="0.2">
      <c r="B211" s="8" t="s">
        <v>175</v>
      </c>
      <c r="C211" s="15" t="s">
        <v>196</v>
      </c>
      <c r="D211" s="21">
        <v>190</v>
      </c>
      <c r="E211" s="22">
        <v>152</v>
      </c>
      <c r="F211" s="23">
        <f t="shared" si="36"/>
        <v>147.44</v>
      </c>
      <c r="G211" s="24">
        <f t="shared" si="36"/>
        <v>144.4</v>
      </c>
      <c r="H211" s="25">
        <f t="shared" si="36"/>
        <v>142.88</v>
      </c>
      <c r="J211" s="79">
        <v>190</v>
      </c>
      <c r="K211" s="76">
        <f t="shared" si="33"/>
        <v>190</v>
      </c>
      <c r="L211" s="79">
        <v>152</v>
      </c>
      <c r="M211" s="76">
        <f t="shared" si="34"/>
        <v>152</v>
      </c>
      <c r="N211" s="88">
        <f t="shared" si="35"/>
        <v>0</v>
      </c>
      <c r="O211" s="1" t="s">
        <v>299</v>
      </c>
      <c r="P211" s="1">
        <v>111.5</v>
      </c>
      <c r="S211" s="1">
        <f t="shared" si="31"/>
        <v>111.5</v>
      </c>
      <c r="U211" s="1">
        <f t="shared" si="32"/>
        <v>111.5</v>
      </c>
      <c r="V211" s="1">
        <v>0.32100000000000001</v>
      </c>
      <c r="W211" s="1">
        <v>0.25</v>
      </c>
    </row>
    <row r="212" spans="1:23" x14ac:dyDescent="0.2">
      <c r="B212" s="6" t="s">
        <v>176</v>
      </c>
      <c r="C212" s="12" t="s">
        <v>196</v>
      </c>
      <c r="D212" s="34">
        <v>108</v>
      </c>
      <c r="E212" s="35">
        <v>86</v>
      </c>
      <c r="F212" s="23">
        <f t="shared" si="36"/>
        <v>83.42</v>
      </c>
      <c r="G212" s="24">
        <f t="shared" si="36"/>
        <v>81.7</v>
      </c>
      <c r="H212" s="25">
        <f t="shared" si="36"/>
        <v>80.839999999999989</v>
      </c>
      <c r="J212" s="76">
        <v>108</v>
      </c>
      <c r="K212" s="76">
        <f t="shared" si="33"/>
        <v>108</v>
      </c>
      <c r="L212" s="76">
        <v>86</v>
      </c>
      <c r="M212" s="76">
        <f t="shared" si="34"/>
        <v>86</v>
      </c>
      <c r="N212" s="88">
        <f t="shared" si="35"/>
        <v>0</v>
      </c>
      <c r="O212" s="1" t="s">
        <v>299</v>
      </c>
      <c r="P212" s="1">
        <v>57.5</v>
      </c>
      <c r="S212" s="1">
        <f t="shared" si="31"/>
        <v>57.5</v>
      </c>
      <c r="U212" s="1">
        <f t="shared" si="32"/>
        <v>57.5</v>
      </c>
      <c r="V212" s="1">
        <v>0.45500000000000002</v>
      </c>
      <c r="W212" s="1">
        <v>0.25</v>
      </c>
    </row>
    <row r="213" spans="1:23" x14ac:dyDescent="0.2">
      <c r="B213" s="6" t="s">
        <v>177</v>
      </c>
      <c r="C213" s="12" t="s">
        <v>196</v>
      </c>
      <c r="D213" s="34">
        <v>29</v>
      </c>
      <c r="E213" s="35">
        <v>22</v>
      </c>
      <c r="F213" s="23">
        <f t="shared" si="36"/>
        <v>21.34</v>
      </c>
      <c r="G213" s="24">
        <f t="shared" si="36"/>
        <v>20.9</v>
      </c>
      <c r="H213" s="25">
        <f t="shared" si="36"/>
        <v>20.68</v>
      </c>
      <c r="J213" s="76">
        <v>29</v>
      </c>
      <c r="K213" s="76">
        <f t="shared" si="33"/>
        <v>28</v>
      </c>
      <c r="L213" s="76">
        <v>22</v>
      </c>
      <c r="M213" s="76">
        <f t="shared" si="34"/>
        <v>22</v>
      </c>
      <c r="N213" s="88">
        <f t="shared" si="35"/>
        <v>1</v>
      </c>
      <c r="O213" s="1" t="s">
        <v>299</v>
      </c>
      <c r="P213" s="1">
        <v>15.5</v>
      </c>
      <c r="S213" s="1">
        <f t="shared" si="31"/>
        <v>15.5</v>
      </c>
      <c r="U213" s="1">
        <f t="shared" si="32"/>
        <v>15.5</v>
      </c>
      <c r="V213" s="1">
        <v>0.37</v>
      </c>
      <c r="W213" s="1">
        <v>0.3</v>
      </c>
    </row>
    <row r="214" spans="1:23" x14ac:dyDescent="0.2">
      <c r="A214" s="60"/>
      <c r="B214" s="6" t="s">
        <v>178</v>
      </c>
      <c r="C214" s="12" t="s">
        <v>196</v>
      </c>
      <c r="D214" s="34">
        <v>220</v>
      </c>
      <c r="E214" s="35">
        <v>174</v>
      </c>
      <c r="F214" s="23">
        <f t="shared" si="36"/>
        <v>168.78</v>
      </c>
      <c r="G214" s="24">
        <f t="shared" si="36"/>
        <v>165.29999999999998</v>
      </c>
      <c r="H214" s="25">
        <f t="shared" si="36"/>
        <v>163.56</v>
      </c>
      <c r="J214" s="76">
        <v>220</v>
      </c>
      <c r="K214" s="76">
        <f t="shared" si="33"/>
        <v>220</v>
      </c>
      <c r="L214" s="76">
        <v>174</v>
      </c>
      <c r="M214" s="76">
        <f t="shared" si="34"/>
        <v>174</v>
      </c>
      <c r="N214" s="88">
        <f t="shared" si="35"/>
        <v>0</v>
      </c>
      <c r="O214" s="1" t="s">
        <v>299</v>
      </c>
      <c r="P214" s="1">
        <v>124</v>
      </c>
      <c r="S214" s="1">
        <f t="shared" si="31"/>
        <v>124</v>
      </c>
      <c r="U214" s="1">
        <f t="shared" si="32"/>
        <v>124</v>
      </c>
      <c r="V214" s="1">
        <v>0.36499999999999999</v>
      </c>
      <c r="W214" s="1">
        <v>0.26</v>
      </c>
    </row>
    <row r="215" spans="1:23" x14ac:dyDescent="0.2">
      <c r="A215" s="20"/>
      <c r="B215" s="2" t="s">
        <v>180</v>
      </c>
      <c r="C215" s="14"/>
      <c r="D215" s="48"/>
      <c r="E215" s="48"/>
      <c r="F215" s="48"/>
      <c r="G215" s="48"/>
      <c r="H215" s="48"/>
      <c r="J215" s="78"/>
      <c r="K215" s="76">
        <f t="shared" si="33"/>
        <v>0</v>
      </c>
      <c r="L215" s="78"/>
      <c r="M215" s="76">
        <f t="shared" si="34"/>
        <v>0</v>
      </c>
      <c r="N215" s="88">
        <f t="shared" si="35"/>
        <v>0</v>
      </c>
      <c r="S215" s="1">
        <f t="shared" si="31"/>
        <v>0</v>
      </c>
      <c r="U215" s="1">
        <f t="shared" si="32"/>
        <v>0</v>
      </c>
    </row>
    <row r="216" spans="1:23" ht="12" customHeight="1" x14ac:dyDescent="0.2">
      <c r="A216" s="61"/>
      <c r="B216" s="8" t="s">
        <v>181</v>
      </c>
      <c r="C216" s="15" t="s">
        <v>197</v>
      </c>
      <c r="D216" s="62">
        <v>53</v>
      </c>
      <c r="E216" s="63">
        <v>43</v>
      </c>
      <c r="F216" s="23">
        <f t="shared" si="36"/>
        <v>41.71</v>
      </c>
      <c r="G216" s="24">
        <f t="shared" si="36"/>
        <v>40.85</v>
      </c>
      <c r="H216" s="25">
        <f t="shared" si="36"/>
        <v>40.419999999999995</v>
      </c>
      <c r="J216" s="84">
        <v>53</v>
      </c>
      <c r="K216" s="76">
        <f t="shared" si="33"/>
        <v>53</v>
      </c>
      <c r="L216" s="84">
        <v>43</v>
      </c>
      <c r="M216" s="76">
        <f t="shared" si="34"/>
        <v>43</v>
      </c>
      <c r="N216" s="88">
        <f t="shared" si="35"/>
        <v>0</v>
      </c>
      <c r="O216" s="1" t="s">
        <v>295</v>
      </c>
      <c r="P216" s="1">
        <v>31.49</v>
      </c>
      <c r="S216" s="1">
        <f t="shared" si="31"/>
        <v>31.49</v>
      </c>
      <c r="U216" s="1">
        <f t="shared" si="32"/>
        <v>31.49</v>
      </c>
      <c r="V216" s="1">
        <v>0.315</v>
      </c>
      <c r="W216" s="1">
        <v>0.25</v>
      </c>
    </row>
    <row r="217" spans="1:23" x14ac:dyDescent="0.2">
      <c r="B217" s="8" t="s">
        <v>248</v>
      </c>
      <c r="C217" s="15" t="s">
        <v>249</v>
      </c>
      <c r="D217" s="62">
        <v>50</v>
      </c>
      <c r="E217" s="63">
        <v>34</v>
      </c>
      <c r="F217" s="23">
        <f t="shared" si="36"/>
        <v>32.979999999999997</v>
      </c>
      <c r="G217" s="24">
        <f t="shared" si="36"/>
        <v>32.299999999999997</v>
      </c>
      <c r="H217" s="25">
        <f t="shared" si="36"/>
        <v>31.959999999999997</v>
      </c>
      <c r="J217" s="84">
        <v>50</v>
      </c>
      <c r="K217" s="76">
        <f t="shared" si="33"/>
        <v>50</v>
      </c>
      <c r="L217" s="84">
        <v>34</v>
      </c>
      <c r="M217" s="76">
        <f t="shared" si="34"/>
        <v>34</v>
      </c>
      <c r="N217" s="88">
        <f t="shared" si="35"/>
        <v>0</v>
      </c>
      <c r="O217" s="1" t="s">
        <v>295</v>
      </c>
      <c r="P217" s="1">
        <v>24</v>
      </c>
      <c r="S217" s="1">
        <f t="shared" si="31"/>
        <v>24</v>
      </c>
      <c r="U217" s="1">
        <f t="shared" si="32"/>
        <v>24</v>
      </c>
      <c r="V217" s="1">
        <v>0.39500000000000002</v>
      </c>
      <c r="W217" s="1">
        <v>0.44</v>
      </c>
    </row>
    <row r="218" spans="1:23" x14ac:dyDescent="0.2">
      <c r="B218" s="6" t="s">
        <v>182</v>
      </c>
      <c r="C218" s="12" t="s">
        <v>197</v>
      </c>
      <c r="D218" s="64" t="s">
        <v>210</v>
      </c>
      <c r="E218" s="65" t="s">
        <v>210</v>
      </c>
      <c r="F218" s="66" t="s">
        <v>210</v>
      </c>
      <c r="G218" s="67" t="s">
        <v>210</v>
      </c>
      <c r="H218" s="68" t="s">
        <v>210</v>
      </c>
      <c r="J218" s="85" t="s">
        <v>210</v>
      </c>
      <c r="K218" s="76">
        <f t="shared" si="33"/>
        <v>46</v>
      </c>
      <c r="L218" s="85" t="s">
        <v>210</v>
      </c>
      <c r="M218" s="76">
        <f t="shared" si="34"/>
        <v>33</v>
      </c>
      <c r="N218" s="88" t="e">
        <f t="shared" si="35"/>
        <v>#VALUE!</v>
      </c>
      <c r="O218" s="1" t="s">
        <v>295</v>
      </c>
      <c r="P218" s="1">
        <v>24.64</v>
      </c>
      <c r="S218" s="1">
        <f t="shared" si="31"/>
        <v>24.64</v>
      </c>
      <c r="U218" s="1">
        <f t="shared" si="32"/>
        <v>24.64</v>
      </c>
      <c r="V218" s="1">
        <v>0.3</v>
      </c>
      <c r="W218" s="1">
        <v>0.4</v>
      </c>
    </row>
    <row r="219" spans="1:23" x14ac:dyDescent="0.2">
      <c r="B219" s="6" t="s">
        <v>183</v>
      </c>
      <c r="C219" s="12" t="s">
        <v>197</v>
      </c>
      <c r="D219" s="64" t="s">
        <v>210</v>
      </c>
      <c r="E219" s="65" t="s">
        <v>210</v>
      </c>
      <c r="F219" s="66" t="s">
        <v>210</v>
      </c>
      <c r="G219" s="67" t="s">
        <v>210</v>
      </c>
      <c r="H219" s="68" t="s">
        <v>210</v>
      </c>
      <c r="J219" s="85" t="s">
        <v>210</v>
      </c>
      <c r="K219" s="76">
        <f t="shared" si="33"/>
        <v>65</v>
      </c>
      <c r="L219" s="85" t="s">
        <v>210</v>
      </c>
      <c r="M219" s="76">
        <f t="shared" si="34"/>
        <v>45</v>
      </c>
      <c r="N219" s="88" t="e">
        <f t="shared" si="35"/>
        <v>#VALUE!</v>
      </c>
      <c r="O219" s="1" t="s">
        <v>295</v>
      </c>
      <c r="P219" s="1">
        <v>32.75</v>
      </c>
      <c r="S219" s="1">
        <f t="shared" si="31"/>
        <v>32.75</v>
      </c>
      <c r="U219" s="1">
        <f t="shared" si="32"/>
        <v>32.75</v>
      </c>
      <c r="V219" s="1">
        <v>0.33</v>
      </c>
      <c r="W219" s="1">
        <v>0.44</v>
      </c>
    </row>
    <row r="220" spans="1:23" x14ac:dyDescent="0.2">
      <c r="A220" s="60"/>
      <c r="B220" s="6" t="s">
        <v>184</v>
      </c>
      <c r="C220" s="12" t="s">
        <v>197</v>
      </c>
      <c r="D220" s="34">
        <v>58</v>
      </c>
      <c r="E220" s="35">
        <v>37</v>
      </c>
      <c r="F220" s="23">
        <f t="shared" ref="F220:H220" si="37">$E220*(1-F$1)</f>
        <v>35.89</v>
      </c>
      <c r="G220" s="24">
        <f t="shared" si="37"/>
        <v>35.15</v>
      </c>
      <c r="H220" s="25">
        <f t="shared" si="37"/>
        <v>34.78</v>
      </c>
      <c r="J220" s="76">
        <v>58</v>
      </c>
      <c r="K220" s="76">
        <f t="shared" si="33"/>
        <v>58</v>
      </c>
      <c r="L220" s="76">
        <v>37</v>
      </c>
      <c r="M220" s="76">
        <f t="shared" si="34"/>
        <v>37</v>
      </c>
      <c r="N220" s="88">
        <f t="shared" si="35"/>
        <v>0</v>
      </c>
      <c r="O220" s="1" t="s">
        <v>296</v>
      </c>
      <c r="P220" s="1">
        <v>21</v>
      </c>
      <c r="S220" s="1">
        <f t="shared" si="31"/>
        <v>21</v>
      </c>
      <c r="U220" s="1">
        <f t="shared" si="32"/>
        <v>21</v>
      </c>
      <c r="V220" s="1">
        <v>0.72</v>
      </c>
      <c r="W220" s="1">
        <v>0.56000000000000005</v>
      </c>
    </row>
    <row r="221" spans="1:23" x14ac:dyDescent="0.2">
      <c r="A221" s="20"/>
      <c r="B221" s="2" t="s">
        <v>185</v>
      </c>
      <c r="C221" s="14"/>
      <c r="D221" s="48"/>
      <c r="E221" s="48"/>
      <c r="F221" s="48"/>
      <c r="G221" s="48"/>
      <c r="H221" s="48"/>
      <c r="J221" s="78"/>
      <c r="K221" s="76">
        <f t="shared" si="33"/>
        <v>0</v>
      </c>
      <c r="L221" s="78"/>
      <c r="M221" s="76">
        <f t="shared" si="34"/>
        <v>0</v>
      </c>
      <c r="N221" s="88">
        <f t="shared" si="35"/>
        <v>0</v>
      </c>
      <c r="S221" s="1">
        <f t="shared" si="31"/>
        <v>0</v>
      </c>
      <c r="U221" s="1">
        <f t="shared" si="32"/>
        <v>0</v>
      </c>
    </row>
    <row r="222" spans="1:23" x14ac:dyDescent="0.2">
      <c r="A222" s="61"/>
      <c r="B222" s="6" t="s">
        <v>186</v>
      </c>
      <c r="C222" s="12" t="s">
        <v>198</v>
      </c>
      <c r="D222" s="34">
        <v>8</v>
      </c>
      <c r="E222" s="35">
        <v>4</v>
      </c>
      <c r="F222" s="23">
        <v>4</v>
      </c>
      <c r="G222" s="24">
        <v>4</v>
      </c>
      <c r="H222" s="25">
        <v>4</v>
      </c>
      <c r="J222" s="76">
        <v>8</v>
      </c>
      <c r="K222" s="76">
        <f t="shared" si="33"/>
        <v>9</v>
      </c>
      <c r="L222" s="76">
        <v>4</v>
      </c>
      <c r="M222" s="76">
        <f t="shared" si="34"/>
        <v>4</v>
      </c>
      <c r="N222" s="88">
        <f t="shared" si="35"/>
        <v>-1</v>
      </c>
      <c r="P222" s="1">
        <v>2.65</v>
      </c>
      <c r="S222" s="1">
        <f t="shared" si="31"/>
        <v>2.65</v>
      </c>
      <c r="T222" s="1">
        <v>0.05</v>
      </c>
      <c r="U222" s="1">
        <f t="shared" si="32"/>
        <v>2.7825000000000002</v>
      </c>
      <c r="V222" s="1">
        <v>0.5</v>
      </c>
      <c r="W222" s="1">
        <v>1.1000000000000001</v>
      </c>
    </row>
    <row r="223" spans="1:23" x14ac:dyDescent="0.2">
      <c r="B223" s="6" t="s">
        <v>187</v>
      </c>
      <c r="C223" s="12" t="s">
        <v>199</v>
      </c>
      <c r="D223" s="34">
        <v>20</v>
      </c>
      <c r="E223" s="35">
        <v>20</v>
      </c>
      <c r="F223" s="23">
        <v>20</v>
      </c>
      <c r="G223" s="24">
        <v>20</v>
      </c>
      <c r="H223" s="25">
        <v>20</v>
      </c>
      <c r="J223" s="76">
        <v>20</v>
      </c>
      <c r="K223" s="76">
        <f t="shared" si="33"/>
        <v>0</v>
      </c>
      <c r="L223" s="76">
        <v>20</v>
      </c>
      <c r="M223" s="76">
        <f t="shared" si="34"/>
        <v>0</v>
      </c>
      <c r="N223" s="88">
        <f t="shared" si="35"/>
        <v>40</v>
      </c>
      <c r="S223" s="1">
        <f t="shared" si="31"/>
        <v>0</v>
      </c>
      <c r="U223" s="1">
        <f t="shared" si="32"/>
        <v>0</v>
      </c>
    </row>
    <row r="224" spans="1:23" ht="21.75" customHeight="1" x14ac:dyDescent="0.2">
      <c r="A224" s="273" t="s">
        <v>211</v>
      </c>
      <c r="B224" s="274"/>
      <c r="C224" s="274"/>
      <c r="D224" s="274"/>
      <c r="E224" s="274"/>
      <c r="F224" s="274"/>
      <c r="G224" s="274"/>
      <c r="H224" s="274"/>
      <c r="J224" s="73"/>
      <c r="K224" s="73"/>
      <c r="L224" s="73"/>
      <c r="M224" s="73"/>
    </row>
  </sheetData>
  <mergeCells count="5">
    <mergeCell ref="A2:H2"/>
    <mergeCell ref="A102:H102"/>
    <mergeCell ref="A111:H111"/>
    <mergeCell ref="A115:H115"/>
    <mergeCell ref="A224:H224"/>
  </mergeCells>
  <printOptions horizontalCentered="1" gridLines="1"/>
  <pageMargins left="0.15" right="0.15" top="0.6" bottom="0.15" header="0.15" footer="0.15"/>
  <pageSetup scale="89" fitToHeight="0" orientation="portrait" horizontalDpi="1200" verticalDpi="1200" r:id="rId1"/>
  <headerFooter>
    <oddHeader>&amp;C&amp;G</oddHeader>
    <oddFooter>&amp;RUpdated &amp;D</oddFooter>
  </headerFooter>
  <rowBreaks count="3" manualBreakCount="3">
    <brk id="65" max="7" man="1"/>
    <brk id="130" max="7" man="1"/>
    <brk id="191" max="7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BD73-0FA8-487B-964D-868920C8B99D}">
  <dimension ref="A1:AA228"/>
  <sheetViews>
    <sheetView workbookViewId="0"/>
  </sheetViews>
  <sheetFormatPr defaultColWidth="9.140625" defaultRowHeight="12" x14ac:dyDescent="0.2"/>
  <cols>
    <col min="1" max="1" width="7" style="59" customWidth="1"/>
    <col min="2" max="2" width="1.85546875" style="54" bestFit="1" customWidth="1"/>
    <col min="3" max="3" width="42.42578125" style="3" bestFit="1" customWidth="1"/>
    <col min="4" max="4" width="11.85546875" style="9" customWidth="1"/>
    <col min="5" max="5" width="10.7109375" style="45" customWidth="1"/>
    <col min="6" max="6" width="10.7109375" style="46" customWidth="1"/>
    <col min="7" max="7" width="10.7109375" style="51" customWidth="1"/>
    <col min="8" max="8" width="10.7109375" style="52" customWidth="1"/>
    <col min="9" max="9" width="10.7109375" style="53" customWidth="1"/>
    <col min="10" max="10" width="0.85546875" style="1" customWidth="1"/>
    <col min="11" max="11" width="7.7109375" style="71" customWidth="1"/>
    <col min="12" max="12" width="9.42578125" style="71" bestFit="1" customWidth="1"/>
    <col min="13" max="14" width="7.7109375" style="72" customWidth="1"/>
    <col min="15" max="15" width="9.140625" style="1" customWidth="1"/>
    <col min="16" max="16" width="24.140625" style="3" bestFit="1" customWidth="1"/>
    <col min="17" max="22" width="9.140625" style="1"/>
    <col min="23" max="23" width="9.140625" style="1" customWidth="1"/>
    <col min="24" max="24" width="12" style="1" bestFit="1" customWidth="1"/>
    <col min="25" max="16384" width="9.140625" style="1"/>
  </cols>
  <sheetData>
    <row r="1" spans="1:27" x14ac:dyDescent="0.2">
      <c r="A1" s="54"/>
      <c r="G1" s="26">
        <v>0.03</v>
      </c>
      <c r="H1" s="27">
        <v>0.05</v>
      </c>
      <c r="I1" s="28">
        <v>0.06</v>
      </c>
      <c r="P1" s="93" t="s">
        <v>261</v>
      </c>
      <c r="Q1" s="87">
        <v>0.03</v>
      </c>
    </row>
    <row r="2" spans="1:27" ht="23.25" customHeight="1" x14ac:dyDescent="0.3">
      <c r="A2" s="275" t="s">
        <v>357</v>
      </c>
      <c r="B2" s="275"/>
      <c r="C2" s="276"/>
      <c r="D2" s="276"/>
      <c r="E2" s="276"/>
      <c r="F2" s="276"/>
      <c r="G2" s="276"/>
      <c r="H2" s="276"/>
      <c r="I2" s="276"/>
      <c r="K2" s="73"/>
      <c r="L2" s="73"/>
      <c r="M2" s="73"/>
      <c r="N2" s="73"/>
    </row>
    <row r="3" spans="1:27" ht="33.75" x14ac:dyDescent="0.2">
      <c r="A3" s="55" t="s">
        <v>5</v>
      </c>
      <c r="B3" s="113"/>
      <c r="C3" s="121" t="s">
        <v>349</v>
      </c>
      <c r="D3" s="10" t="s">
        <v>21</v>
      </c>
      <c r="E3" s="29" t="s">
        <v>0</v>
      </c>
      <c r="F3" s="30" t="s">
        <v>4</v>
      </c>
      <c r="G3" s="31" t="s">
        <v>1</v>
      </c>
      <c r="H3" s="32" t="s">
        <v>2</v>
      </c>
      <c r="I3" s="33" t="s">
        <v>3</v>
      </c>
      <c r="K3" s="74" t="s">
        <v>253</v>
      </c>
      <c r="L3" s="74" t="s">
        <v>264</v>
      </c>
      <c r="M3" s="75" t="s">
        <v>254</v>
      </c>
      <c r="N3" s="75" t="s">
        <v>265</v>
      </c>
      <c r="P3" s="3" t="s">
        <v>255</v>
      </c>
      <c r="Q3" s="1" t="s">
        <v>256</v>
      </c>
      <c r="R3" s="1" t="s">
        <v>257</v>
      </c>
      <c r="S3" s="1" t="s">
        <v>258</v>
      </c>
      <c r="T3" s="1" t="s">
        <v>259</v>
      </c>
      <c r="U3" s="1" t="s">
        <v>260</v>
      </c>
      <c r="V3" s="1" t="s">
        <v>262</v>
      </c>
      <c r="W3" s="1" t="s">
        <v>263</v>
      </c>
      <c r="X3" s="1" t="s">
        <v>266</v>
      </c>
      <c r="Z3" s="1" t="s">
        <v>435</v>
      </c>
      <c r="AA3" s="1" t="s">
        <v>436</v>
      </c>
    </row>
    <row r="4" spans="1:27" x14ac:dyDescent="0.2">
      <c r="A4" s="20"/>
      <c r="B4" s="114"/>
      <c r="C4" s="5" t="s">
        <v>6</v>
      </c>
      <c r="D4" s="11"/>
      <c r="E4" s="47"/>
      <c r="F4" s="47"/>
      <c r="G4" s="47"/>
      <c r="H4" s="47"/>
      <c r="I4" s="47"/>
      <c r="M4" s="71"/>
      <c r="N4" s="71"/>
      <c r="T4" s="1">
        <f>SUM(Q4:S4)</f>
        <v>0</v>
      </c>
      <c r="V4" s="1">
        <f>+T4*(1+U4)</f>
        <v>0</v>
      </c>
    </row>
    <row r="5" spans="1:27" x14ac:dyDescent="0.2">
      <c r="A5" s="56" t="s">
        <v>7</v>
      </c>
      <c r="B5" s="150"/>
      <c r="C5" s="6" t="s">
        <v>13</v>
      </c>
      <c r="D5" s="12" t="s">
        <v>14</v>
      </c>
      <c r="E5" s="34">
        <f>+L5</f>
        <v>476</v>
      </c>
      <c r="F5" s="35">
        <f>+N5</f>
        <v>340</v>
      </c>
      <c r="G5" s="23">
        <f>$F5*(1-G$1)</f>
        <v>329.8</v>
      </c>
      <c r="H5" s="24">
        <f t="shared" ref="H5:I23" si="0">$F5*(1-H$1)</f>
        <v>323</v>
      </c>
      <c r="I5" s="25">
        <f t="shared" si="0"/>
        <v>319.59999999999997</v>
      </c>
      <c r="K5" s="99">
        <v>470</v>
      </c>
      <c r="L5" s="162">
        <f>ROUND(+V5*(1+W5)*(1+X5)*(1+$Q$1),0)</f>
        <v>476</v>
      </c>
      <c r="M5" s="99">
        <v>336</v>
      </c>
      <c r="N5" s="162">
        <f>ROUND(+V5*(1+W5)*(1+$Q$1),0)</f>
        <v>340</v>
      </c>
      <c r="P5" s="94" t="s">
        <v>277</v>
      </c>
      <c r="Q5" s="95">
        <v>145</v>
      </c>
      <c r="R5" s="95">
        <f>1400/24</f>
        <v>58.333333333333336</v>
      </c>
      <c r="S5" s="95"/>
      <c r="T5" s="95">
        <f t="shared" ref="T5:T72" si="1">SUM(Q5:S5)</f>
        <v>203.33333333333334</v>
      </c>
      <c r="U5" s="95">
        <v>0</v>
      </c>
      <c r="V5" s="95">
        <f t="shared" ref="V5:V72" si="2">+T5*(1+U5)</f>
        <v>203.33333333333334</v>
      </c>
      <c r="W5" s="95">
        <v>0.622</v>
      </c>
      <c r="X5" s="95">
        <v>0.4</v>
      </c>
      <c r="Z5" s="164">
        <f>+E5/2000</f>
        <v>0.23799999999999999</v>
      </c>
      <c r="AA5" s="164">
        <f>+F5/2000</f>
        <v>0.17</v>
      </c>
    </row>
    <row r="6" spans="1:27" x14ac:dyDescent="0.2">
      <c r="A6" s="57" t="s">
        <v>8</v>
      </c>
      <c r="B6" s="150"/>
      <c r="C6" s="6" t="s">
        <v>15</v>
      </c>
      <c r="D6" s="12" t="s">
        <v>14</v>
      </c>
      <c r="E6" s="34">
        <f t="shared" ref="E6:E10" si="3">+K6</f>
        <v>463</v>
      </c>
      <c r="F6" s="35">
        <f t="shared" ref="F6:F10" si="4">+M6</f>
        <v>289</v>
      </c>
      <c r="G6" s="23">
        <f t="shared" ref="G6:I24" si="5">$F6*(1-G$1)</f>
        <v>280.33</v>
      </c>
      <c r="H6" s="24">
        <f t="shared" si="0"/>
        <v>274.55</v>
      </c>
      <c r="I6" s="25">
        <f t="shared" si="0"/>
        <v>271.65999999999997</v>
      </c>
      <c r="K6" s="162">
        <v>463</v>
      </c>
      <c r="L6" s="76">
        <f t="shared" ref="L6:L73" si="6">ROUND(+V6*(1+W6)*(1+X6)*(1+$Q$1),0)</f>
        <v>315</v>
      </c>
      <c r="M6" s="162">
        <v>289</v>
      </c>
      <c r="N6" s="76">
        <f t="shared" ref="N6:N73" si="7">ROUND(+V6*(1+W6)*(1+$Q$1),0)</f>
        <v>197</v>
      </c>
      <c r="P6" s="94" t="s">
        <v>320</v>
      </c>
      <c r="Q6" s="95">
        <v>95</v>
      </c>
      <c r="R6" s="161">
        <f>1000/24</f>
        <v>41.666666666666664</v>
      </c>
      <c r="S6" s="95"/>
      <c r="T6" s="95">
        <f t="shared" si="1"/>
        <v>136.66666666666666</v>
      </c>
      <c r="U6" s="95">
        <v>0</v>
      </c>
      <c r="V6" s="95">
        <f t="shared" si="2"/>
        <v>136.66666666666666</v>
      </c>
      <c r="W6" s="95">
        <v>0.39800000000000002</v>
      </c>
      <c r="X6" s="95">
        <v>0.6</v>
      </c>
      <c r="Z6" s="164">
        <f t="shared" ref="Z6:AA9" si="8">+E6/2000</f>
        <v>0.23150000000000001</v>
      </c>
      <c r="AA6" s="164">
        <f t="shared" si="8"/>
        <v>0.14449999999999999</v>
      </c>
    </row>
    <row r="7" spans="1:27" x14ac:dyDescent="0.2">
      <c r="A7" s="57" t="s">
        <v>9</v>
      </c>
      <c r="B7" s="150"/>
      <c r="C7" s="6" t="s">
        <v>16</v>
      </c>
      <c r="D7" s="12" t="s">
        <v>14</v>
      </c>
      <c r="E7" s="34">
        <f t="shared" si="3"/>
        <v>625</v>
      </c>
      <c r="F7" s="35">
        <f t="shared" si="4"/>
        <v>463</v>
      </c>
      <c r="G7" s="23">
        <f t="shared" si="5"/>
        <v>449.11</v>
      </c>
      <c r="H7" s="24">
        <f t="shared" si="0"/>
        <v>439.84999999999997</v>
      </c>
      <c r="I7" s="25">
        <f t="shared" si="0"/>
        <v>435.21999999999997</v>
      </c>
      <c r="K7" s="162">
        <v>625</v>
      </c>
      <c r="L7" s="76">
        <f t="shared" si="6"/>
        <v>381</v>
      </c>
      <c r="M7" s="162">
        <v>463</v>
      </c>
      <c r="N7" s="76">
        <f t="shared" si="7"/>
        <v>282</v>
      </c>
      <c r="P7" s="94" t="s">
        <v>332</v>
      </c>
      <c r="Q7" s="95">
        <v>138</v>
      </c>
      <c r="R7" s="95">
        <f>1525/24</f>
        <v>63.541666666666664</v>
      </c>
      <c r="S7" s="95"/>
      <c r="T7" s="95">
        <f t="shared" si="1"/>
        <v>201.54166666666666</v>
      </c>
      <c r="U7" s="95">
        <v>0</v>
      </c>
      <c r="V7" s="95">
        <f t="shared" si="2"/>
        <v>201.54166666666666</v>
      </c>
      <c r="W7" s="95">
        <v>0.35799999999999998</v>
      </c>
      <c r="X7" s="95">
        <v>0.35</v>
      </c>
      <c r="Z7" s="164">
        <f t="shared" si="8"/>
        <v>0.3125</v>
      </c>
      <c r="AA7" s="164">
        <f t="shared" si="8"/>
        <v>0.23150000000000001</v>
      </c>
    </row>
    <row r="8" spans="1:27" x14ac:dyDescent="0.2">
      <c r="A8" s="57" t="s">
        <v>10</v>
      </c>
      <c r="B8" s="150"/>
      <c r="C8" s="6" t="s">
        <v>17</v>
      </c>
      <c r="D8" s="12" t="s">
        <v>14</v>
      </c>
      <c r="E8" s="34">
        <f>+L8</f>
        <v>455</v>
      </c>
      <c r="F8" s="35">
        <f>+N8</f>
        <v>319</v>
      </c>
      <c r="G8" s="23">
        <f t="shared" si="5"/>
        <v>309.43</v>
      </c>
      <c r="H8" s="24">
        <f t="shared" si="0"/>
        <v>303.05</v>
      </c>
      <c r="I8" s="25">
        <f t="shared" si="0"/>
        <v>299.85999999999996</v>
      </c>
      <c r="K8" s="99">
        <v>450</v>
      </c>
      <c r="L8" s="162">
        <f t="shared" si="6"/>
        <v>455</v>
      </c>
      <c r="M8" s="99">
        <v>316</v>
      </c>
      <c r="N8" s="162">
        <f t="shared" si="7"/>
        <v>319</v>
      </c>
      <c r="P8" s="94" t="s">
        <v>277</v>
      </c>
      <c r="Q8" s="95">
        <v>145</v>
      </c>
      <c r="R8" s="95">
        <f>1400/24</f>
        <v>58.333333333333336</v>
      </c>
      <c r="S8" s="95"/>
      <c r="T8" s="95">
        <f t="shared" si="1"/>
        <v>203.33333333333334</v>
      </c>
      <c r="U8" s="95">
        <v>0</v>
      </c>
      <c r="V8" s="95">
        <f t="shared" si="2"/>
        <v>203.33333333333334</v>
      </c>
      <c r="W8" s="95">
        <v>0.52500000000000002</v>
      </c>
      <c r="X8" s="95">
        <v>0.42499999999999999</v>
      </c>
      <c r="Z8" s="164">
        <f t="shared" si="8"/>
        <v>0.22750000000000001</v>
      </c>
      <c r="AA8" s="164">
        <f t="shared" si="8"/>
        <v>0.1595</v>
      </c>
    </row>
    <row r="9" spans="1:27" x14ac:dyDescent="0.2">
      <c r="A9" s="57" t="s">
        <v>11</v>
      </c>
      <c r="B9" s="150"/>
      <c r="C9" s="6" t="s">
        <v>18</v>
      </c>
      <c r="D9" s="106" t="s">
        <v>14</v>
      </c>
      <c r="E9" s="107">
        <f>+L9</f>
        <v>411</v>
      </c>
      <c r="F9" s="108">
        <f>+N9</f>
        <v>257</v>
      </c>
      <c r="G9" s="109">
        <f t="shared" si="5"/>
        <v>249.29</v>
      </c>
      <c r="H9" s="110">
        <f t="shared" si="0"/>
        <v>244.14999999999998</v>
      </c>
      <c r="I9" s="111">
        <f t="shared" si="0"/>
        <v>241.57999999999998</v>
      </c>
      <c r="K9" s="99">
        <v>405</v>
      </c>
      <c r="L9" s="162">
        <f t="shared" si="6"/>
        <v>411</v>
      </c>
      <c r="M9" s="99">
        <v>253</v>
      </c>
      <c r="N9" s="162">
        <f t="shared" si="7"/>
        <v>257</v>
      </c>
      <c r="P9" s="94" t="s">
        <v>277</v>
      </c>
      <c r="Q9" s="95">
        <v>120</v>
      </c>
      <c r="R9" s="95">
        <f>1400/24</f>
        <v>58.333333333333336</v>
      </c>
      <c r="S9" s="95"/>
      <c r="T9" s="95">
        <f t="shared" si="1"/>
        <v>178.33333333333334</v>
      </c>
      <c r="U9" s="95">
        <v>0</v>
      </c>
      <c r="V9" s="95">
        <f t="shared" si="2"/>
        <v>178.33333333333334</v>
      </c>
      <c r="W9" s="95">
        <v>0.39800000000000002</v>
      </c>
      <c r="X9" s="95">
        <v>0.6</v>
      </c>
      <c r="Z9" s="164">
        <f t="shared" si="8"/>
        <v>0.20549999999999999</v>
      </c>
      <c r="AA9" s="164">
        <f t="shared" si="8"/>
        <v>0.1285</v>
      </c>
    </row>
    <row r="10" spans="1:27" x14ac:dyDescent="0.2">
      <c r="A10" s="58" t="s">
        <v>12</v>
      </c>
      <c r="B10" s="115"/>
      <c r="C10" s="7" t="s">
        <v>19</v>
      </c>
      <c r="D10" s="112" t="s">
        <v>14</v>
      </c>
      <c r="E10" s="107">
        <f t="shared" si="3"/>
        <v>605</v>
      </c>
      <c r="F10" s="108">
        <f t="shared" si="4"/>
        <v>380</v>
      </c>
      <c r="G10" s="109">
        <f t="shared" si="5"/>
        <v>368.59999999999997</v>
      </c>
      <c r="H10" s="110">
        <f t="shared" si="0"/>
        <v>361</v>
      </c>
      <c r="I10" s="111">
        <f t="shared" si="0"/>
        <v>357.2</v>
      </c>
      <c r="K10" s="100">
        <v>605</v>
      </c>
      <c r="L10" s="76">
        <f t="shared" si="6"/>
        <v>604</v>
      </c>
      <c r="M10" s="100">
        <v>380</v>
      </c>
      <c r="N10" s="76">
        <f t="shared" si="7"/>
        <v>377</v>
      </c>
      <c r="P10" s="97" t="s">
        <v>290</v>
      </c>
      <c r="Q10" s="96">
        <v>140</v>
      </c>
      <c r="R10" s="96">
        <f>1525/24</f>
        <v>63.541666666666664</v>
      </c>
      <c r="S10" s="95"/>
      <c r="T10" s="95">
        <f t="shared" si="1"/>
        <v>203.54166666666666</v>
      </c>
      <c r="U10" s="95">
        <v>0</v>
      </c>
      <c r="V10" s="95">
        <f t="shared" si="2"/>
        <v>203.54166666666666</v>
      </c>
      <c r="W10" s="95">
        <v>0.8</v>
      </c>
      <c r="X10" s="95">
        <v>0.6</v>
      </c>
    </row>
    <row r="11" spans="1:27" x14ac:dyDescent="0.2">
      <c r="A11" s="20"/>
      <c r="B11" s="20"/>
      <c r="C11" s="2" t="s">
        <v>20</v>
      </c>
      <c r="D11" s="14"/>
      <c r="E11" s="48"/>
      <c r="F11" s="48"/>
      <c r="G11" s="48"/>
      <c r="H11" s="48"/>
      <c r="I11" s="48"/>
      <c r="K11" s="78"/>
      <c r="L11" s="76"/>
      <c r="M11" s="78"/>
      <c r="N11" s="76"/>
      <c r="O11" s="88"/>
      <c r="T11" s="1">
        <f t="shared" si="1"/>
        <v>0</v>
      </c>
      <c r="V11" s="1">
        <f t="shared" si="2"/>
        <v>0</v>
      </c>
    </row>
    <row r="12" spans="1:27" x14ac:dyDescent="0.2">
      <c r="A12" s="16">
        <v>1</v>
      </c>
      <c r="B12" s="151"/>
      <c r="C12" s="6" t="s">
        <v>431</v>
      </c>
      <c r="D12" s="12" t="s">
        <v>14</v>
      </c>
      <c r="E12" s="34">
        <f>L12</f>
        <v>479</v>
      </c>
      <c r="F12" s="35">
        <f>N12</f>
        <v>369</v>
      </c>
      <c r="G12" s="23">
        <f t="shared" ref="G12:I20" si="9">$F12*(1-G$1)</f>
        <v>357.93</v>
      </c>
      <c r="H12" s="24">
        <f t="shared" si="9"/>
        <v>350.55</v>
      </c>
      <c r="I12" s="25">
        <f t="shared" si="9"/>
        <v>346.85999999999996</v>
      </c>
      <c r="K12" s="76"/>
      <c r="L12" s="99">
        <f t="shared" ref="L12:L20" si="10">ROUND(+V12*(1+W12)*(1+X12)*(1+$Q$1),0)</f>
        <v>479</v>
      </c>
      <c r="M12" s="76"/>
      <c r="N12" s="99">
        <f t="shared" ref="N12:N20" si="11">ROUND(+V12*(1+W12)*(1+$Q$1),0)</f>
        <v>369</v>
      </c>
      <c r="O12" s="88"/>
      <c r="P12" s="97" t="s">
        <v>323</v>
      </c>
      <c r="Q12" s="96">
        <v>165</v>
      </c>
      <c r="R12" s="96">
        <f>1000/24</f>
        <v>41.666666666666664</v>
      </c>
      <c r="S12" s="95"/>
      <c r="T12" s="95">
        <f t="shared" ref="T12:T20" si="12">SUM(Q12:S12)</f>
        <v>206.66666666666666</v>
      </c>
      <c r="U12" s="95">
        <v>0.05</v>
      </c>
      <c r="V12" s="95">
        <f t="shared" si="2"/>
        <v>217</v>
      </c>
      <c r="W12" s="95">
        <v>0.65</v>
      </c>
      <c r="X12" s="95">
        <v>0.3</v>
      </c>
    </row>
    <row r="13" spans="1:27" x14ac:dyDescent="0.2">
      <c r="A13" s="16">
        <v>2</v>
      </c>
      <c r="B13" s="116"/>
      <c r="C13" s="6" t="s">
        <v>27</v>
      </c>
      <c r="D13" s="12" t="s">
        <v>14</v>
      </c>
      <c r="E13" s="34">
        <f>L13</f>
        <v>471</v>
      </c>
      <c r="F13" s="35">
        <f>N13</f>
        <v>362</v>
      </c>
      <c r="G13" s="23">
        <f t="shared" si="9"/>
        <v>351.14</v>
      </c>
      <c r="H13" s="24">
        <f t="shared" si="9"/>
        <v>343.9</v>
      </c>
      <c r="I13" s="25">
        <f t="shared" si="9"/>
        <v>340.28</v>
      </c>
      <c r="K13" s="76">
        <v>462</v>
      </c>
      <c r="L13" s="99">
        <f t="shared" si="10"/>
        <v>471</v>
      </c>
      <c r="M13" s="76">
        <v>356</v>
      </c>
      <c r="N13" s="99">
        <f t="shared" si="11"/>
        <v>362</v>
      </c>
      <c r="O13" s="88"/>
      <c r="P13" s="97" t="s">
        <v>323</v>
      </c>
      <c r="Q13" s="96">
        <v>165</v>
      </c>
      <c r="R13" s="96">
        <f>1000/24</f>
        <v>41.666666666666664</v>
      </c>
      <c r="S13" s="95"/>
      <c r="T13" s="95">
        <f t="shared" si="12"/>
        <v>206.66666666666666</v>
      </c>
      <c r="U13" s="95">
        <v>0.05</v>
      </c>
      <c r="V13" s="95">
        <f t="shared" si="2"/>
        <v>217</v>
      </c>
      <c r="W13" s="95">
        <v>0.62</v>
      </c>
      <c r="X13" s="95">
        <v>0.3</v>
      </c>
    </row>
    <row r="14" spans="1:27" x14ac:dyDescent="0.2">
      <c r="A14" s="16">
        <v>3</v>
      </c>
      <c r="B14" s="116"/>
      <c r="C14" s="6" t="s">
        <v>440</v>
      </c>
      <c r="D14" s="12" t="s">
        <v>14</v>
      </c>
      <c r="E14" s="34">
        <f>L14</f>
        <v>606</v>
      </c>
      <c r="F14" s="35">
        <f>N14</f>
        <v>466</v>
      </c>
      <c r="G14" s="23">
        <f t="shared" si="9"/>
        <v>452.02</v>
      </c>
      <c r="H14" s="24">
        <f t="shared" si="9"/>
        <v>442.7</v>
      </c>
      <c r="I14" s="25">
        <f t="shared" si="9"/>
        <v>438.03999999999996</v>
      </c>
      <c r="K14" s="76"/>
      <c r="L14" s="99">
        <f t="shared" si="10"/>
        <v>606</v>
      </c>
      <c r="M14" s="76"/>
      <c r="N14" s="99">
        <f>ROUND(+V14*(1+W14)*(1+$Q$1),0)</f>
        <v>466</v>
      </c>
      <c r="O14" s="88"/>
      <c r="P14" s="97" t="s">
        <v>323</v>
      </c>
      <c r="Q14" s="96">
        <f>165+50</f>
        <v>215</v>
      </c>
      <c r="R14" s="96">
        <f>1000/24</f>
        <v>41.666666666666664</v>
      </c>
      <c r="S14" s="95"/>
      <c r="T14" s="95">
        <f t="shared" ref="T14" si="13">SUM(Q14:S14)</f>
        <v>256.66666666666669</v>
      </c>
      <c r="U14" s="95">
        <v>0.05</v>
      </c>
      <c r="V14" s="95">
        <f t="shared" si="2"/>
        <v>269.50000000000006</v>
      </c>
      <c r="W14" s="95">
        <v>0.68</v>
      </c>
      <c r="X14" s="95">
        <v>0.3</v>
      </c>
    </row>
    <row r="15" spans="1:27" x14ac:dyDescent="0.2">
      <c r="A15" s="16">
        <v>4</v>
      </c>
      <c r="B15" s="116"/>
      <c r="C15" s="6" t="s">
        <v>26</v>
      </c>
      <c r="D15" s="12" t="s">
        <v>14</v>
      </c>
      <c r="E15" s="34">
        <f>L15</f>
        <v>488</v>
      </c>
      <c r="F15" s="35">
        <f>N15</f>
        <v>375</v>
      </c>
      <c r="G15" s="23">
        <f t="shared" si="9"/>
        <v>363.75</v>
      </c>
      <c r="H15" s="24">
        <f t="shared" si="9"/>
        <v>356.25</v>
      </c>
      <c r="I15" s="25">
        <f t="shared" si="9"/>
        <v>352.5</v>
      </c>
      <c r="K15" s="76">
        <v>479</v>
      </c>
      <c r="L15" s="99">
        <f t="shared" si="10"/>
        <v>488</v>
      </c>
      <c r="M15" s="76">
        <v>369</v>
      </c>
      <c r="N15" s="99">
        <f t="shared" si="11"/>
        <v>375</v>
      </c>
      <c r="O15" s="88"/>
      <c r="P15" s="97" t="s">
        <v>323</v>
      </c>
      <c r="Q15" s="96">
        <v>165</v>
      </c>
      <c r="R15" s="96">
        <f>1000/24</f>
        <v>41.666666666666664</v>
      </c>
      <c r="S15" s="95"/>
      <c r="T15" s="95">
        <f t="shared" si="12"/>
        <v>206.66666666666666</v>
      </c>
      <c r="U15" s="95">
        <v>0.05</v>
      </c>
      <c r="V15" s="95">
        <f t="shared" si="2"/>
        <v>217</v>
      </c>
      <c r="W15" s="95">
        <v>0.68</v>
      </c>
      <c r="X15" s="95">
        <v>0.3</v>
      </c>
    </row>
    <row r="16" spans="1:27" x14ac:dyDescent="0.2">
      <c r="A16" s="16">
        <v>5</v>
      </c>
      <c r="B16" s="116"/>
      <c r="C16" s="6" t="s">
        <v>23</v>
      </c>
      <c r="D16" s="12" t="s">
        <v>14</v>
      </c>
      <c r="E16" s="34">
        <f>+K16</f>
        <v>468</v>
      </c>
      <c r="F16" s="35">
        <f>+M16</f>
        <v>361</v>
      </c>
      <c r="G16" s="23">
        <f t="shared" si="9"/>
        <v>350.17</v>
      </c>
      <c r="H16" s="24">
        <f t="shared" si="9"/>
        <v>342.95</v>
      </c>
      <c r="I16" s="25">
        <f t="shared" si="9"/>
        <v>339.34</v>
      </c>
      <c r="K16" s="99">
        <v>468</v>
      </c>
      <c r="L16" s="76">
        <f t="shared" si="10"/>
        <v>467</v>
      </c>
      <c r="M16" s="99">
        <v>361</v>
      </c>
      <c r="N16" s="76">
        <f t="shared" si="11"/>
        <v>361</v>
      </c>
      <c r="O16" s="88"/>
      <c r="P16" s="97" t="s">
        <v>322</v>
      </c>
      <c r="Q16" s="96">
        <v>160</v>
      </c>
      <c r="R16" s="96">
        <f>1000/24</f>
        <v>41.666666666666664</v>
      </c>
      <c r="S16" s="95"/>
      <c r="T16" s="95">
        <f t="shared" si="12"/>
        <v>201.66666666666666</v>
      </c>
      <c r="U16" s="95">
        <v>0.05</v>
      </c>
      <c r="V16" s="95">
        <f t="shared" si="2"/>
        <v>211.75</v>
      </c>
      <c r="W16" s="95">
        <v>0.65500000000000003</v>
      </c>
      <c r="X16" s="95">
        <v>0.29499999999999998</v>
      </c>
    </row>
    <row r="17" spans="1:27" x14ac:dyDescent="0.2">
      <c r="A17" s="16">
        <v>6</v>
      </c>
      <c r="B17" s="116"/>
      <c r="C17" s="6" t="s">
        <v>25</v>
      </c>
      <c r="D17" s="12" t="s">
        <v>14</v>
      </c>
      <c r="E17" s="34">
        <f>+K17</f>
        <v>655</v>
      </c>
      <c r="F17" s="35">
        <f>+M17</f>
        <v>442</v>
      </c>
      <c r="G17" s="23">
        <f t="shared" si="9"/>
        <v>428.74</v>
      </c>
      <c r="H17" s="24">
        <f t="shared" si="9"/>
        <v>419.9</v>
      </c>
      <c r="I17" s="25">
        <f t="shared" si="9"/>
        <v>415.47999999999996</v>
      </c>
      <c r="K17" s="99">
        <v>655</v>
      </c>
      <c r="L17" s="76">
        <f t="shared" si="10"/>
        <v>655</v>
      </c>
      <c r="M17" s="99">
        <v>442</v>
      </c>
      <c r="N17" s="76">
        <f t="shared" si="11"/>
        <v>442</v>
      </c>
      <c r="O17" s="88"/>
      <c r="P17" s="97" t="s">
        <v>291</v>
      </c>
      <c r="Q17" s="96">
        <v>270</v>
      </c>
      <c r="R17" s="96">
        <f>540/16/1.5</f>
        <v>22.5</v>
      </c>
      <c r="S17" s="95"/>
      <c r="T17" s="95">
        <f t="shared" si="12"/>
        <v>292.5</v>
      </c>
      <c r="U17" s="95">
        <v>0.05</v>
      </c>
      <c r="V17" s="95">
        <f t="shared" si="2"/>
        <v>307.125</v>
      </c>
      <c r="W17" s="95">
        <v>0.39800000000000002</v>
      </c>
      <c r="X17" s="95">
        <v>0.48</v>
      </c>
    </row>
    <row r="18" spans="1:27" x14ac:dyDescent="0.2">
      <c r="A18" s="16">
        <v>7</v>
      </c>
      <c r="B18" s="116"/>
      <c r="C18" s="6" t="s">
        <v>24</v>
      </c>
      <c r="D18" s="12" t="s">
        <v>14</v>
      </c>
      <c r="E18" s="34">
        <f>+K18</f>
        <v>655</v>
      </c>
      <c r="F18" s="35">
        <f>+M18</f>
        <v>442</v>
      </c>
      <c r="G18" s="23">
        <f t="shared" si="9"/>
        <v>428.74</v>
      </c>
      <c r="H18" s="24">
        <f t="shared" si="9"/>
        <v>419.9</v>
      </c>
      <c r="I18" s="25">
        <f t="shared" si="9"/>
        <v>415.47999999999996</v>
      </c>
      <c r="K18" s="99">
        <v>655</v>
      </c>
      <c r="L18" s="76">
        <f t="shared" si="10"/>
        <v>655</v>
      </c>
      <c r="M18" s="99">
        <v>442</v>
      </c>
      <c r="N18" s="76">
        <f t="shared" si="11"/>
        <v>442</v>
      </c>
      <c r="O18" s="88"/>
      <c r="P18" s="97" t="s">
        <v>291</v>
      </c>
      <c r="Q18" s="96">
        <f>240+30</f>
        <v>270</v>
      </c>
      <c r="R18" s="96">
        <f>540/16/1.5</f>
        <v>22.5</v>
      </c>
      <c r="S18" s="95"/>
      <c r="T18" s="95">
        <f t="shared" si="12"/>
        <v>292.5</v>
      </c>
      <c r="U18" s="95">
        <v>0.05</v>
      </c>
      <c r="V18" s="95">
        <f t="shared" si="2"/>
        <v>307.125</v>
      </c>
      <c r="W18" s="95">
        <v>0.39800000000000002</v>
      </c>
      <c r="X18" s="95">
        <v>0.48</v>
      </c>
    </row>
    <row r="19" spans="1:27" x14ac:dyDescent="0.2">
      <c r="A19" s="19">
        <v>8</v>
      </c>
      <c r="B19" s="117"/>
      <c r="C19" s="7" t="s">
        <v>432</v>
      </c>
      <c r="D19" s="12" t="s">
        <v>14</v>
      </c>
      <c r="E19" s="34">
        <f>+L19</f>
        <v>688</v>
      </c>
      <c r="F19" s="35">
        <f>+N19</f>
        <v>478</v>
      </c>
      <c r="G19" s="23">
        <f t="shared" si="9"/>
        <v>463.65999999999997</v>
      </c>
      <c r="H19" s="24">
        <f t="shared" si="9"/>
        <v>454.09999999999997</v>
      </c>
      <c r="I19" s="25">
        <f t="shared" si="9"/>
        <v>449.32</v>
      </c>
      <c r="K19" s="76"/>
      <c r="L19" s="99">
        <f t="shared" si="10"/>
        <v>688</v>
      </c>
      <c r="M19" s="76"/>
      <c r="N19" s="99">
        <f t="shared" si="11"/>
        <v>478</v>
      </c>
      <c r="O19" s="88"/>
      <c r="P19" s="97" t="s">
        <v>291</v>
      </c>
      <c r="Q19" s="96">
        <f>270+30</f>
        <v>300</v>
      </c>
      <c r="R19" s="96">
        <f>540/16/1.5</f>
        <v>22.5</v>
      </c>
      <c r="S19" s="95"/>
      <c r="T19" s="95">
        <f t="shared" si="12"/>
        <v>322.5</v>
      </c>
      <c r="U19" s="95">
        <v>0.05</v>
      </c>
      <c r="V19" s="95">
        <f t="shared" si="2"/>
        <v>338.625</v>
      </c>
      <c r="W19" s="95">
        <v>0.37</v>
      </c>
      <c r="X19" s="95">
        <v>0.44</v>
      </c>
    </row>
    <row r="20" spans="1:27" x14ac:dyDescent="0.2">
      <c r="A20" s="19">
        <v>9</v>
      </c>
      <c r="B20" s="150"/>
      <c r="C20" s="7" t="s">
        <v>22</v>
      </c>
      <c r="D20" s="13" t="s">
        <v>14</v>
      </c>
      <c r="E20" s="34">
        <f>+L20</f>
        <v>691</v>
      </c>
      <c r="F20" s="35">
        <f>+N20</f>
        <v>467</v>
      </c>
      <c r="G20" s="23">
        <f t="shared" si="9"/>
        <v>452.99</v>
      </c>
      <c r="H20" s="24">
        <f t="shared" si="9"/>
        <v>443.65</v>
      </c>
      <c r="I20" s="25">
        <f t="shared" si="9"/>
        <v>438.97999999999996</v>
      </c>
      <c r="K20" s="100">
        <v>686</v>
      </c>
      <c r="L20" s="162">
        <f t="shared" si="10"/>
        <v>691</v>
      </c>
      <c r="M20" s="100">
        <v>464</v>
      </c>
      <c r="N20" s="162">
        <f t="shared" si="11"/>
        <v>467</v>
      </c>
      <c r="O20" s="88"/>
      <c r="P20" s="94" t="s">
        <v>277</v>
      </c>
      <c r="Q20" s="95">
        <v>275</v>
      </c>
      <c r="R20" s="95">
        <f>1400/24</f>
        <v>58.333333333333336</v>
      </c>
      <c r="S20" s="95"/>
      <c r="T20" s="95">
        <f t="shared" si="12"/>
        <v>333.33333333333331</v>
      </c>
      <c r="U20" s="95">
        <v>0.05</v>
      </c>
      <c r="V20" s="95">
        <f t="shared" si="2"/>
        <v>350</v>
      </c>
      <c r="W20" s="95">
        <v>0.29499999999999998</v>
      </c>
      <c r="X20" s="95">
        <v>0.48</v>
      </c>
      <c r="Z20" s="164">
        <f>+E20/2000</f>
        <v>0.34549999999999997</v>
      </c>
      <c r="AA20" s="164">
        <f>+F20/2000</f>
        <v>0.23350000000000001</v>
      </c>
    </row>
    <row r="21" spans="1:27" x14ac:dyDescent="0.2">
      <c r="A21" s="20"/>
      <c r="B21" s="20"/>
      <c r="C21" s="2" t="s">
        <v>28</v>
      </c>
      <c r="D21" s="14"/>
      <c r="E21" s="48"/>
      <c r="F21" s="48"/>
      <c r="G21" s="48"/>
      <c r="H21" s="48"/>
      <c r="I21" s="48"/>
      <c r="K21" s="78"/>
      <c r="L21" s="76"/>
      <c r="M21" s="78"/>
      <c r="N21" s="76"/>
      <c r="O21" s="88"/>
      <c r="T21" s="1">
        <f t="shared" si="1"/>
        <v>0</v>
      </c>
      <c r="V21" s="1">
        <f t="shared" si="2"/>
        <v>0</v>
      </c>
    </row>
    <row r="22" spans="1:27" x14ac:dyDescent="0.2">
      <c r="A22" s="61">
        <v>10</v>
      </c>
      <c r="B22" s="130"/>
      <c r="C22" s="8" t="s">
        <v>29</v>
      </c>
      <c r="D22" s="15" t="s">
        <v>14</v>
      </c>
      <c r="E22" s="34">
        <f>+L22</f>
        <v>986</v>
      </c>
      <c r="F22" s="35">
        <f>+N22</f>
        <v>705</v>
      </c>
      <c r="G22" s="23">
        <f t="shared" si="5"/>
        <v>683.85</v>
      </c>
      <c r="H22" s="24">
        <f t="shared" si="0"/>
        <v>669.75</v>
      </c>
      <c r="I22" s="25">
        <f t="shared" si="0"/>
        <v>662.69999999999993</v>
      </c>
      <c r="K22" s="76">
        <v>980</v>
      </c>
      <c r="L22" s="99">
        <f t="shared" si="6"/>
        <v>986</v>
      </c>
      <c r="M22" s="76">
        <v>701</v>
      </c>
      <c r="N22" s="99">
        <f t="shared" si="7"/>
        <v>705</v>
      </c>
      <c r="O22" s="88"/>
      <c r="P22" s="97" t="s">
        <v>290</v>
      </c>
      <c r="Q22" s="96">
        <v>383</v>
      </c>
      <c r="R22" s="96">
        <f>1525/24</f>
        <v>63.541666666666664</v>
      </c>
      <c r="S22" s="95"/>
      <c r="T22" s="95">
        <f t="shared" si="1"/>
        <v>446.54166666666669</v>
      </c>
      <c r="U22" s="95">
        <v>0.05</v>
      </c>
      <c r="V22" s="95">
        <f t="shared" si="2"/>
        <v>468.86875000000003</v>
      </c>
      <c r="W22" s="95">
        <v>0.46</v>
      </c>
      <c r="X22" s="95">
        <v>0.39800000000000002</v>
      </c>
    </row>
    <row r="23" spans="1:27" x14ac:dyDescent="0.2">
      <c r="A23" s="59">
        <v>11</v>
      </c>
      <c r="B23" s="130"/>
      <c r="C23" s="6" t="s">
        <v>30</v>
      </c>
      <c r="D23" s="12" t="s">
        <v>14</v>
      </c>
      <c r="E23" s="34">
        <f t="shared" ref="E23:E24" si="14">+L23</f>
        <v>782</v>
      </c>
      <c r="F23" s="35">
        <f t="shared" ref="F23:F24" si="15">+N23</f>
        <v>560</v>
      </c>
      <c r="G23" s="23">
        <f t="shared" si="5"/>
        <v>543.19999999999993</v>
      </c>
      <c r="H23" s="24">
        <f t="shared" si="0"/>
        <v>532</v>
      </c>
      <c r="I23" s="25">
        <f t="shared" si="0"/>
        <v>526.4</v>
      </c>
      <c r="K23" s="76">
        <v>799</v>
      </c>
      <c r="L23" s="99">
        <f t="shared" si="6"/>
        <v>782</v>
      </c>
      <c r="M23" s="76">
        <v>572</v>
      </c>
      <c r="N23" s="99">
        <f t="shared" si="7"/>
        <v>560</v>
      </c>
      <c r="O23" s="88"/>
      <c r="P23" s="97" t="s">
        <v>290</v>
      </c>
      <c r="Q23" s="96">
        <v>240</v>
      </c>
      <c r="R23" s="96">
        <f>1525/24</f>
        <v>63.541666666666664</v>
      </c>
      <c r="S23" s="95"/>
      <c r="T23" s="95">
        <f t="shared" si="1"/>
        <v>303.54166666666669</v>
      </c>
      <c r="U23" s="95">
        <v>0.05</v>
      </c>
      <c r="V23" s="95">
        <f t="shared" si="2"/>
        <v>318.71875000000006</v>
      </c>
      <c r="W23" s="95">
        <v>0.70499999999999996</v>
      </c>
      <c r="X23" s="95">
        <v>0.39700000000000002</v>
      </c>
    </row>
    <row r="24" spans="1:27" x14ac:dyDescent="0.2">
      <c r="A24" s="59">
        <v>12</v>
      </c>
      <c r="B24" s="130"/>
      <c r="C24" s="6" t="s">
        <v>31</v>
      </c>
      <c r="D24" s="12" t="s">
        <v>14</v>
      </c>
      <c r="E24" s="34">
        <f t="shared" si="14"/>
        <v>722</v>
      </c>
      <c r="F24" s="35">
        <f t="shared" si="15"/>
        <v>517</v>
      </c>
      <c r="G24" s="23">
        <f t="shared" si="5"/>
        <v>501.49</v>
      </c>
      <c r="H24" s="24">
        <f t="shared" si="5"/>
        <v>491.15</v>
      </c>
      <c r="I24" s="25">
        <f t="shared" si="5"/>
        <v>485.97999999999996</v>
      </c>
      <c r="K24" s="76">
        <v>702</v>
      </c>
      <c r="L24" s="99">
        <f t="shared" si="6"/>
        <v>722</v>
      </c>
      <c r="M24" s="76">
        <v>503</v>
      </c>
      <c r="N24" s="99">
        <f t="shared" si="7"/>
        <v>517</v>
      </c>
      <c r="O24" s="88"/>
      <c r="P24" s="97" t="s">
        <v>290</v>
      </c>
      <c r="Q24" s="96">
        <v>240</v>
      </c>
      <c r="R24" s="96">
        <f>1525/24</f>
        <v>63.541666666666664</v>
      </c>
      <c r="S24" s="95"/>
      <c r="T24" s="95">
        <f t="shared" si="1"/>
        <v>303.54166666666669</v>
      </c>
      <c r="U24" s="95">
        <v>0.05</v>
      </c>
      <c r="V24" s="95">
        <f t="shared" si="2"/>
        <v>318.71875000000006</v>
      </c>
      <c r="W24" s="95">
        <v>0.57499999999999996</v>
      </c>
      <c r="X24" s="95">
        <v>0.39700000000000002</v>
      </c>
    </row>
    <row r="25" spans="1:27" x14ac:dyDescent="0.2">
      <c r="A25" s="59">
        <v>13</v>
      </c>
      <c r="B25" s="116"/>
      <c r="C25" s="6" t="s">
        <v>32</v>
      </c>
      <c r="D25" s="12" t="s">
        <v>14</v>
      </c>
      <c r="E25" s="34">
        <f t="shared" ref="E25:E27" si="16">+K25</f>
        <v>357</v>
      </c>
      <c r="F25" s="35">
        <f t="shared" ref="F25:F27" si="17">+M25</f>
        <v>256</v>
      </c>
      <c r="G25" s="23">
        <f t="shared" ref="G25:I42" si="18">$F25*(1-G$1)</f>
        <v>248.32</v>
      </c>
      <c r="H25" s="24">
        <f t="shared" si="18"/>
        <v>243.2</v>
      </c>
      <c r="I25" s="25">
        <f t="shared" si="18"/>
        <v>240.64</v>
      </c>
      <c r="K25" s="99">
        <v>357</v>
      </c>
      <c r="L25" s="76">
        <f t="shared" si="6"/>
        <v>357</v>
      </c>
      <c r="M25" s="99">
        <v>256</v>
      </c>
      <c r="N25" s="76">
        <f t="shared" si="7"/>
        <v>256</v>
      </c>
      <c r="O25" s="88"/>
      <c r="P25" s="97" t="s">
        <v>319</v>
      </c>
      <c r="Q25" s="96">
        <v>95</v>
      </c>
      <c r="R25" s="120">
        <f>1000/24</f>
        <v>41.666666666666664</v>
      </c>
      <c r="S25" s="95"/>
      <c r="T25" s="95">
        <f t="shared" si="1"/>
        <v>136.66666666666666</v>
      </c>
      <c r="U25" s="95">
        <v>0.05</v>
      </c>
      <c r="V25" s="95">
        <f t="shared" si="2"/>
        <v>143.5</v>
      </c>
      <c r="W25" s="95">
        <v>0.73</v>
      </c>
      <c r="X25" s="95">
        <v>0.39700000000000002</v>
      </c>
    </row>
    <row r="26" spans="1:27" x14ac:dyDescent="0.2">
      <c r="A26" s="60">
        <v>14</v>
      </c>
      <c r="B26" s="150"/>
      <c r="C26" s="7" t="s">
        <v>33</v>
      </c>
      <c r="D26" s="13" t="s">
        <v>14</v>
      </c>
      <c r="E26" s="34">
        <f t="shared" si="16"/>
        <v>783</v>
      </c>
      <c r="F26" s="35">
        <f t="shared" si="17"/>
        <v>559</v>
      </c>
      <c r="G26" s="23">
        <f t="shared" si="18"/>
        <v>542.23</v>
      </c>
      <c r="H26" s="24">
        <f t="shared" si="18"/>
        <v>531.04999999999995</v>
      </c>
      <c r="I26" s="25">
        <f t="shared" si="18"/>
        <v>525.45999999999992</v>
      </c>
      <c r="K26" s="163">
        <v>783</v>
      </c>
      <c r="L26" s="76">
        <f t="shared" si="6"/>
        <v>782</v>
      </c>
      <c r="M26" s="163">
        <v>559</v>
      </c>
      <c r="N26" s="76">
        <f t="shared" si="7"/>
        <v>559</v>
      </c>
      <c r="O26" s="88"/>
      <c r="P26" s="94" t="s">
        <v>277</v>
      </c>
      <c r="Q26" s="95">
        <v>215</v>
      </c>
      <c r="R26" s="95">
        <f>1400/24</f>
        <v>58.333333333333336</v>
      </c>
      <c r="S26" s="95"/>
      <c r="T26" s="95">
        <f t="shared" si="1"/>
        <v>273.33333333333331</v>
      </c>
      <c r="U26" s="95">
        <v>0.05</v>
      </c>
      <c r="V26" s="95">
        <f t="shared" si="2"/>
        <v>287</v>
      </c>
      <c r="W26" s="95">
        <v>0.89</v>
      </c>
      <c r="X26" s="95">
        <v>0.4</v>
      </c>
      <c r="Z26" s="164">
        <f>+E26/2000</f>
        <v>0.39150000000000001</v>
      </c>
      <c r="AA26" s="164">
        <f>+F26/2000</f>
        <v>0.27950000000000003</v>
      </c>
    </row>
    <row r="27" spans="1:27" x14ac:dyDescent="0.2">
      <c r="A27" s="60">
        <v>15</v>
      </c>
      <c r="B27" s="130"/>
      <c r="C27" s="7" t="s">
        <v>206</v>
      </c>
      <c r="D27" s="13" t="s">
        <v>14</v>
      </c>
      <c r="E27" s="34">
        <f t="shared" si="16"/>
        <v>640</v>
      </c>
      <c r="F27" s="35">
        <f t="shared" si="17"/>
        <v>322</v>
      </c>
      <c r="G27" s="23">
        <f t="shared" si="18"/>
        <v>312.33999999999997</v>
      </c>
      <c r="H27" s="24">
        <f t="shared" si="18"/>
        <v>305.89999999999998</v>
      </c>
      <c r="I27" s="25">
        <f t="shared" si="18"/>
        <v>302.68</v>
      </c>
      <c r="K27" s="100">
        <v>640</v>
      </c>
      <c r="L27" s="76">
        <f t="shared" si="6"/>
        <v>640</v>
      </c>
      <c r="M27" s="100">
        <v>322</v>
      </c>
      <c r="N27" s="76">
        <f t="shared" si="7"/>
        <v>337</v>
      </c>
      <c r="O27" s="88"/>
      <c r="P27" s="97" t="s">
        <v>290</v>
      </c>
      <c r="Q27" s="96">
        <v>125</v>
      </c>
      <c r="R27" s="96">
        <f>1525/24</f>
        <v>63.541666666666664</v>
      </c>
      <c r="S27" s="95"/>
      <c r="T27" s="95">
        <f t="shared" si="1"/>
        <v>188.54166666666666</v>
      </c>
      <c r="U27" s="95">
        <v>0.05</v>
      </c>
      <c r="V27" s="95">
        <f t="shared" si="2"/>
        <v>197.96875</v>
      </c>
      <c r="W27" s="95">
        <v>0.65200000000000002</v>
      </c>
      <c r="X27" s="95">
        <v>0.9</v>
      </c>
    </row>
    <row r="28" spans="1:27" x14ac:dyDescent="0.2">
      <c r="A28" s="20"/>
      <c r="B28" s="20"/>
      <c r="C28" s="2" t="s">
        <v>34</v>
      </c>
      <c r="D28" s="14"/>
      <c r="E28" s="48"/>
      <c r="F28" s="48"/>
      <c r="G28" s="48"/>
      <c r="H28" s="48"/>
      <c r="I28" s="48"/>
      <c r="K28" s="78"/>
      <c r="L28" s="76"/>
      <c r="M28" s="78"/>
      <c r="N28" s="76"/>
      <c r="O28" s="88"/>
      <c r="T28" s="1">
        <f t="shared" si="1"/>
        <v>0</v>
      </c>
      <c r="V28" s="1">
        <f t="shared" si="2"/>
        <v>0</v>
      </c>
    </row>
    <row r="29" spans="1:27" x14ac:dyDescent="0.2">
      <c r="A29" s="61">
        <v>16</v>
      </c>
      <c r="B29" s="118"/>
      <c r="C29" s="8" t="s">
        <v>35</v>
      </c>
      <c r="D29" s="15" t="s">
        <v>14</v>
      </c>
      <c r="E29" s="34">
        <f t="shared" ref="E29:E36" si="19">L29</f>
        <v>428</v>
      </c>
      <c r="F29" s="35">
        <f t="shared" ref="F29:F36" si="20">N29</f>
        <v>318</v>
      </c>
      <c r="G29" s="23">
        <f t="shared" si="18"/>
        <v>308.45999999999998</v>
      </c>
      <c r="H29" s="24">
        <f t="shared" si="18"/>
        <v>302.09999999999997</v>
      </c>
      <c r="I29" s="25">
        <f t="shared" si="18"/>
        <v>298.91999999999996</v>
      </c>
      <c r="K29" s="101">
        <v>428</v>
      </c>
      <c r="L29" s="76">
        <f t="shared" si="6"/>
        <v>428</v>
      </c>
      <c r="M29" s="101">
        <v>318</v>
      </c>
      <c r="N29" s="76">
        <f t="shared" si="7"/>
        <v>318</v>
      </c>
      <c r="O29" s="88"/>
      <c r="P29" s="97" t="s">
        <v>322</v>
      </c>
      <c r="Q29" s="96">
        <v>145</v>
      </c>
      <c r="R29" s="96">
        <f>1000/24</f>
        <v>41.666666666666664</v>
      </c>
      <c r="S29" s="95"/>
      <c r="T29" s="95">
        <f t="shared" si="1"/>
        <v>186.66666666666666</v>
      </c>
      <c r="U29" s="95">
        <v>0.05</v>
      </c>
      <c r="V29" s="95">
        <f t="shared" si="2"/>
        <v>196</v>
      </c>
      <c r="W29" s="95">
        <v>0.57599999999999996</v>
      </c>
      <c r="X29" s="95">
        <v>0.34499999999999997</v>
      </c>
    </row>
    <row r="30" spans="1:27" x14ac:dyDescent="0.2">
      <c r="A30" s="59">
        <v>17</v>
      </c>
      <c r="B30" s="115"/>
      <c r="C30" s="6" t="s">
        <v>36</v>
      </c>
      <c r="D30" s="12" t="s">
        <v>14</v>
      </c>
      <c r="E30" s="34">
        <f t="shared" si="19"/>
        <v>441</v>
      </c>
      <c r="F30" s="35">
        <f t="shared" si="20"/>
        <v>315</v>
      </c>
      <c r="G30" s="23">
        <f t="shared" si="18"/>
        <v>305.55</v>
      </c>
      <c r="H30" s="24">
        <f t="shared" si="18"/>
        <v>299.25</v>
      </c>
      <c r="I30" s="25">
        <f t="shared" si="18"/>
        <v>296.09999999999997</v>
      </c>
      <c r="K30" s="76">
        <v>557</v>
      </c>
      <c r="L30" s="99">
        <f t="shared" si="6"/>
        <v>441</v>
      </c>
      <c r="M30" s="76">
        <v>412</v>
      </c>
      <c r="N30" s="99">
        <f t="shared" si="7"/>
        <v>315</v>
      </c>
      <c r="O30" s="88"/>
      <c r="P30" s="97" t="s">
        <v>355</v>
      </c>
      <c r="Q30" s="96">
        <v>120</v>
      </c>
      <c r="R30" s="120">
        <f>1000/24</f>
        <v>41.666666666666664</v>
      </c>
      <c r="S30" s="95"/>
      <c r="T30" s="95">
        <f t="shared" si="1"/>
        <v>161.66666666666666</v>
      </c>
      <c r="U30" s="95">
        <v>0.05</v>
      </c>
      <c r="V30" s="95">
        <f t="shared" si="2"/>
        <v>169.75</v>
      </c>
      <c r="W30" s="95">
        <v>0.8</v>
      </c>
      <c r="X30" s="95">
        <v>0.4</v>
      </c>
    </row>
    <row r="31" spans="1:27" x14ac:dyDescent="0.2">
      <c r="A31" s="59">
        <v>18</v>
      </c>
      <c r="B31" s="116"/>
      <c r="C31" s="6" t="s">
        <v>37</v>
      </c>
      <c r="D31" s="12" t="s">
        <v>14</v>
      </c>
      <c r="E31" s="34">
        <f t="shared" si="19"/>
        <v>391</v>
      </c>
      <c r="F31" s="35">
        <f t="shared" si="20"/>
        <v>281</v>
      </c>
      <c r="G31" s="23">
        <f t="shared" si="18"/>
        <v>272.57</v>
      </c>
      <c r="H31" s="24">
        <f t="shared" si="18"/>
        <v>266.95</v>
      </c>
      <c r="I31" s="25">
        <f t="shared" si="18"/>
        <v>264.14</v>
      </c>
      <c r="K31" s="76">
        <v>370</v>
      </c>
      <c r="L31" s="99">
        <f t="shared" si="6"/>
        <v>391</v>
      </c>
      <c r="M31" s="76">
        <v>266</v>
      </c>
      <c r="N31" s="99">
        <f t="shared" si="7"/>
        <v>281</v>
      </c>
      <c r="O31" s="88"/>
      <c r="P31" s="97" t="s">
        <v>306</v>
      </c>
      <c r="Q31" s="96">
        <v>130</v>
      </c>
      <c r="R31" s="96">
        <f>175/10/1.5</f>
        <v>11.666666666666666</v>
      </c>
      <c r="S31" s="95"/>
      <c r="T31" s="95">
        <f t="shared" si="1"/>
        <v>141.66666666666666</v>
      </c>
      <c r="U31" s="95">
        <v>0.05</v>
      </c>
      <c r="V31" s="95">
        <f t="shared" si="2"/>
        <v>148.75</v>
      </c>
      <c r="W31" s="95">
        <v>0.83499999999999996</v>
      </c>
      <c r="X31" s="95">
        <v>0.39200000000000002</v>
      </c>
    </row>
    <row r="32" spans="1:27" x14ac:dyDescent="0.2">
      <c r="A32" s="59">
        <v>19</v>
      </c>
      <c r="B32" s="150"/>
      <c r="C32" s="6" t="s">
        <v>38</v>
      </c>
      <c r="D32" s="12" t="s">
        <v>14</v>
      </c>
      <c r="E32" s="34">
        <f>+L32</f>
        <v>436</v>
      </c>
      <c r="F32" s="35">
        <f>+N32</f>
        <v>312</v>
      </c>
      <c r="G32" s="23">
        <f t="shared" si="18"/>
        <v>302.64</v>
      </c>
      <c r="H32" s="24">
        <f t="shared" si="18"/>
        <v>296.39999999999998</v>
      </c>
      <c r="I32" s="25">
        <f t="shared" si="18"/>
        <v>293.27999999999997</v>
      </c>
      <c r="K32" s="99">
        <v>431</v>
      </c>
      <c r="L32" s="162">
        <f t="shared" si="6"/>
        <v>436</v>
      </c>
      <c r="M32" s="99">
        <v>308</v>
      </c>
      <c r="N32" s="162">
        <f t="shared" si="7"/>
        <v>312</v>
      </c>
      <c r="O32" s="88"/>
      <c r="P32" s="94" t="s">
        <v>277</v>
      </c>
      <c r="Q32" s="95">
        <v>135</v>
      </c>
      <c r="R32" s="95">
        <f>1400/24</f>
        <v>58.333333333333336</v>
      </c>
      <c r="S32" s="95"/>
      <c r="T32" s="95">
        <f>SUM(Q32:S32)</f>
        <v>193.33333333333334</v>
      </c>
      <c r="U32" s="95">
        <v>0.05</v>
      </c>
      <c r="V32" s="95">
        <f t="shared" si="2"/>
        <v>203.00000000000003</v>
      </c>
      <c r="W32" s="95">
        <v>0.49099999999999999</v>
      </c>
      <c r="X32" s="95">
        <v>0.4</v>
      </c>
      <c r="Z32" s="164">
        <f>+E32/2000</f>
        <v>0.218</v>
      </c>
      <c r="AA32" s="164">
        <f>+F32/2000</f>
        <v>0.156</v>
      </c>
    </row>
    <row r="33" spans="1:27" x14ac:dyDescent="0.2">
      <c r="A33" s="16">
        <v>20</v>
      </c>
      <c r="B33" s="70"/>
      <c r="C33" s="6" t="s">
        <v>39</v>
      </c>
      <c r="D33" s="12" t="s">
        <v>14</v>
      </c>
      <c r="E33" s="34">
        <f>+K33</f>
        <v>454</v>
      </c>
      <c r="F33" s="35">
        <f>+M33</f>
        <v>337</v>
      </c>
      <c r="G33" s="23">
        <f t="shared" si="18"/>
        <v>326.89</v>
      </c>
      <c r="H33" s="24">
        <f t="shared" si="18"/>
        <v>320.14999999999998</v>
      </c>
      <c r="I33" s="25">
        <f t="shared" si="18"/>
        <v>316.77999999999997</v>
      </c>
      <c r="K33" s="99">
        <v>454</v>
      </c>
      <c r="L33" s="76">
        <f t="shared" si="6"/>
        <v>455</v>
      </c>
      <c r="M33" s="99">
        <v>337</v>
      </c>
      <c r="N33" s="76">
        <f t="shared" si="7"/>
        <v>337</v>
      </c>
      <c r="O33" s="88"/>
      <c r="P33" s="97" t="s">
        <v>333</v>
      </c>
      <c r="Q33" s="96">
        <v>95</v>
      </c>
      <c r="R33" s="96">
        <f>1000/24</f>
        <v>41.666666666666664</v>
      </c>
      <c r="S33" s="95"/>
      <c r="T33" s="95">
        <f t="shared" si="1"/>
        <v>136.66666666666666</v>
      </c>
      <c r="U33" s="95">
        <v>0.05</v>
      </c>
      <c r="V33" s="95">
        <f t="shared" si="2"/>
        <v>143.5</v>
      </c>
      <c r="W33" s="95">
        <v>1.28</v>
      </c>
      <c r="X33" s="95">
        <v>0.34899999999999998</v>
      </c>
    </row>
    <row r="34" spans="1:27" x14ac:dyDescent="0.2">
      <c r="A34" s="59">
        <v>21</v>
      </c>
      <c r="B34" s="117"/>
      <c r="C34" s="7" t="s">
        <v>48</v>
      </c>
      <c r="D34" s="13" t="s">
        <v>14</v>
      </c>
      <c r="E34" s="34">
        <f>L34</f>
        <v>408</v>
      </c>
      <c r="F34" s="35">
        <f t="shared" si="20"/>
        <v>283</v>
      </c>
      <c r="G34" s="23">
        <f t="shared" si="18"/>
        <v>274.51</v>
      </c>
      <c r="H34" s="24">
        <f t="shared" si="18"/>
        <v>268.84999999999997</v>
      </c>
      <c r="I34" s="25">
        <f t="shared" si="18"/>
        <v>266.02</v>
      </c>
      <c r="K34" s="77">
        <v>402</v>
      </c>
      <c r="L34" s="99">
        <f t="shared" si="6"/>
        <v>408</v>
      </c>
      <c r="M34" s="77">
        <v>279</v>
      </c>
      <c r="N34" s="99">
        <f t="shared" si="7"/>
        <v>283</v>
      </c>
      <c r="O34" s="88"/>
      <c r="P34" s="97" t="s">
        <v>306</v>
      </c>
      <c r="Q34" s="96">
        <v>160</v>
      </c>
      <c r="R34" s="96">
        <f>175/10/1.5</f>
        <v>11.666666666666666</v>
      </c>
      <c r="S34" s="95"/>
      <c r="T34" s="95">
        <f>SUM(Q34:S34)</f>
        <v>171.66666666666666</v>
      </c>
      <c r="U34" s="95">
        <v>0.05</v>
      </c>
      <c r="V34" s="95">
        <f t="shared" si="2"/>
        <v>180.25</v>
      </c>
      <c r="W34" s="95">
        <v>0.52500000000000002</v>
      </c>
      <c r="X34" s="95">
        <v>0.441</v>
      </c>
    </row>
    <row r="35" spans="1:27" x14ac:dyDescent="0.2">
      <c r="B35" s="117"/>
      <c r="C35" s="7" t="s">
        <v>439</v>
      </c>
      <c r="D35" s="13" t="s">
        <v>14</v>
      </c>
      <c r="E35" s="34">
        <f>+L35</f>
        <v>730</v>
      </c>
      <c r="F35" s="35">
        <f>+N35</f>
        <v>598</v>
      </c>
      <c r="G35" s="23">
        <f t="shared" si="18"/>
        <v>580.05999999999995</v>
      </c>
      <c r="H35" s="24">
        <f t="shared" si="18"/>
        <v>568.1</v>
      </c>
      <c r="I35" s="25">
        <f t="shared" si="18"/>
        <v>562.12</v>
      </c>
      <c r="K35" s="177"/>
      <c r="L35" s="178">
        <f t="shared" si="6"/>
        <v>730</v>
      </c>
      <c r="M35" s="177"/>
      <c r="N35" s="178">
        <f t="shared" si="7"/>
        <v>598</v>
      </c>
      <c r="O35" s="88"/>
      <c r="P35" s="94" t="s">
        <v>277</v>
      </c>
      <c r="Q35" s="95">
        <v>395</v>
      </c>
      <c r="R35" s="95">
        <f>1400/24</f>
        <v>58.333333333333336</v>
      </c>
      <c r="S35" s="95"/>
      <c r="T35" s="95">
        <f>SUM(Q35:S35)</f>
        <v>453.33333333333331</v>
      </c>
      <c r="U35" s="95">
        <v>0.05</v>
      </c>
      <c r="V35" s="95">
        <f t="shared" si="2"/>
        <v>476</v>
      </c>
      <c r="W35" s="95">
        <v>0.22</v>
      </c>
      <c r="X35" s="95">
        <v>0.22</v>
      </c>
      <c r="Z35" s="164">
        <f>+E35/2000</f>
        <v>0.36499999999999999</v>
      </c>
      <c r="AA35" s="164">
        <f>+F35/2000</f>
        <v>0.29899999999999999</v>
      </c>
    </row>
    <row r="36" spans="1:27" x14ac:dyDescent="0.2">
      <c r="B36" s="116"/>
      <c r="C36" s="6" t="s">
        <v>40</v>
      </c>
      <c r="D36" s="12" t="s">
        <v>14</v>
      </c>
      <c r="E36" s="34">
        <f t="shared" si="19"/>
        <v>357</v>
      </c>
      <c r="F36" s="35">
        <f t="shared" si="20"/>
        <v>225</v>
      </c>
      <c r="G36" s="23">
        <f t="shared" si="18"/>
        <v>218.25</v>
      </c>
      <c r="H36" s="24">
        <f t="shared" si="18"/>
        <v>213.75</v>
      </c>
      <c r="I36" s="25">
        <f t="shared" si="18"/>
        <v>211.5</v>
      </c>
      <c r="K36" s="76">
        <v>324</v>
      </c>
      <c r="L36" s="99">
        <f t="shared" si="6"/>
        <v>357</v>
      </c>
      <c r="M36" s="76">
        <v>204</v>
      </c>
      <c r="N36" s="99">
        <f t="shared" si="7"/>
        <v>225</v>
      </c>
      <c r="O36" s="88"/>
      <c r="P36" s="97" t="s">
        <v>306</v>
      </c>
      <c r="Q36" s="96">
        <f>115+10</f>
        <v>125</v>
      </c>
      <c r="R36" s="96">
        <f>175/10/1.5</f>
        <v>11.666666666666666</v>
      </c>
      <c r="S36" s="95"/>
      <c r="T36" s="95">
        <f t="shared" si="1"/>
        <v>136.66666666666666</v>
      </c>
      <c r="U36" s="95">
        <v>0.05</v>
      </c>
      <c r="V36" s="95">
        <f t="shared" si="2"/>
        <v>143.5</v>
      </c>
      <c r="W36" s="95">
        <v>0.52400000000000002</v>
      </c>
      <c r="X36" s="95">
        <v>0.58499999999999996</v>
      </c>
    </row>
    <row r="37" spans="1:27" x14ac:dyDescent="0.2">
      <c r="B37" s="150"/>
      <c r="C37" s="6" t="s">
        <v>41</v>
      </c>
      <c r="D37" s="12" t="s">
        <v>14</v>
      </c>
      <c r="E37" s="34">
        <f>+K37</f>
        <v>309</v>
      </c>
      <c r="F37" s="35">
        <f>+M37</f>
        <v>214</v>
      </c>
      <c r="G37" s="23">
        <f t="shared" si="18"/>
        <v>207.57999999999998</v>
      </c>
      <c r="H37" s="24">
        <f t="shared" si="18"/>
        <v>203.29999999999998</v>
      </c>
      <c r="I37" s="25">
        <f t="shared" si="18"/>
        <v>201.16</v>
      </c>
      <c r="K37" s="76">
        <v>309</v>
      </c>
      <c r="L37" s="99">
        <f t="shared" si="6"/>
        <v>309</v>
      </c>
      <c r="M37" s="76">
        <v>214</v>
      </c>
      <c r="N37" s="99">
        <f t="shared" si="7"/>
        <v>214</v>
      </c>
      <c r="O37" s="88"/>
      <c r="P37" s="97" t="s">
        <v>307</v>
      </c>
      <c r="Q37" s="96">
        <v>130</v>
      </c>
      <c r="R37" s="96">
        <v>18</v>
      </c>
      <c r="S37" s="95"/>
      <c r="T37" s="95">
        <f t="shared" si="1"/>
        <v>148</v>
      </c>
      <c r="U37" s="95">
        <v>0.05</v>
      </c>
      <c r="V37" s="95">
        <f t="shared" si="2"/>
        <v>155.4</v>
      </c>
      <c r="W37" s="95">
        <v>0.33500000000000002</v>
      </c>
      <c r="X37" s="95">
        <v>0.44500000000000001</v>
      </c>
    </row>
    <row r="38" spans="1:27" x14ac:dyDescent="0.2">
      <c r="A38" s="60"/>
      <c r="B38" s="150"/>
      <c r="C38" s="7" t="s">
        <v>42</v>
      </c>
      <c r="D38" s="13" t="s">
        <v>14</v>
      </c>
      <c r="E38" s="34">
        <f>+L38</f>
        <v>236</v>
      </c>
      <c r="F38" s="35">
        <f>+N38</f>
        <v>163</v>
      </c>
      <c r="G38" s="23">
        <f t="shared" si="18"/>
        <v>158.10999999999999</v>
      </c>
      <c r="H38" s="24">
        <f t="shared" si="18"/>
        <v>154.85</v>
      </c>
      <c r="I38" s="25">
        <f t="shared" si="18"/>
        <v>153.22</v>
      </c>
      <c r="K38" s="76">
        <v>225</v>
      </c>
      <c r="L38" s="99">
        <f t="shared" si="6"/>
        <v>236</v>
      </c>
      <c r="M38" s="76">
        <v>155</v>
      </c>
      <c r="N38" s="99">
        <f t="shared" si="7"/>
        <v>163</v>
      </c>
      <c r="O38" s="88"/>
      <c r="P38" s="97" t="s">
        <v>425</v>
      </c>
      <c r="Q38" s="96">
        <v>95</v>
      </c>
      <c r="R38" s="96">
        <v>18</v>
      </c>
      <c r="S38" s="95"/>
      <c r="T38" s="95">
        <f t="shared" si="1"/>
        <v>113</v>
      </c>
      <c r="U38" s="95">
        <v>0.05</v>
      </c>
      <c r="V38" s="95">
        <f t="shared" si="2"/>
        <v>118.65</v>
      </c>
      <c r="W38" s="95">
        <v>0.33</v>
      </c>
      <c r="X38" s="95">
        <v>0.45</v>
      </c>
    </row>
    <row r="39" spans="1:27" x14ac:dyDescent="0.2">
      <c r="A39" s="20"/>
      <c r="B39" s="20"/>
      <c r="C39" s="2" t="s">
        <v>43</v>
      </c>
      <c r="D39" s="14"/>
      <c r="E39" s="48"/>
      <c r="F39" s="48"/>
      <c r="G39" s="48"/>
      <c r="H39" s="48"/>
      <c r="I39" s="48"/>
      <c r="K39" s="78"/>
      <c r="L39" s="76"/>
      <c r="M39" s="78"/>
      <c r="N39" s="76"/>
      <c r="O39" s="88"/>
      <c r="T39" s="1">
        <f t="shared" si="1"/>
        <v>0</v>
      </c>
      <c r="V39" s="1">
        <f t="shared" si="2"/>
        <v>0</v>
      </c>
    </row>
    <row r="40" spans="1:27" x14ac:dyDescent="0.2">
      <c r="A40" s="61">
        <v>22</v>
      </c>
      <c r="B40" s="118"/>
      <c r="C40" s="8" t="s">
        <v>44</v>
      </c>
      <c r="D40" s="15" t="s">
        <v>14</v>
      </c>
      <c r="E40" s="34">
        <f>+K40</f>
        <v>569</v>
      </c>
      <c r="F40" s="35">
        <f>+M40</f>
        <v>379</v>
      </c>
      <c r="G40" s="23">
        <f t="shared" si="18"/>
        <v>367.63</v>
      </c>
      <c r="H40" s="24">
        <f t="shared" si="18"/>
        <v>360.05</v>
      </c>
      <c r="I40" s="25">
        <f t="shared" si="18"/>
        <v>356.26</v>
      </c>
      <c r="K40" s="101">
        <v>569</v>
      </c>
      <c r="L40" s="76">
        <f t="shared" si="6"/>
        <v>569</v>
      </c>
      <c r="M40" s="101">
        <v>379</v>
      </c>
      <c r="N40" s="76">
        <f t="shared" si="7"/>
        <v>380</v>
      </c>
      <c r="O40" s="88"/>
      <c r="P40" s="97" t="s">
        <v>291</v>
      </c>
      <c r="Q40" s="96">
        <v>225</v>
      </c>
      <c r="R40" s="96">
        <f t="shared" ref="R40:R45" si="21">540/16/1.5</f>
        <v>22.5</v>
      </c>
      <c r="S40" s="95"/>
      <c r="T40" s="95">
        <f t="shared" si="1"/>
        <v>247.5</v>
      </c>
      <c r="U40" s="95">
        <v>0.05</v>
      </c>
      <c r="V40" s="95">
        <f t="shared" si="2"/>
        <v>259.875</v>
      </c>
      <c r="W40" s="95">
        <v>0.41799999999999998</v>
      </c>
      <c r="X40" s="95">
        <v>0.5</v>
      </c>
    </row>
    <row r="41" spans="1:27" x14ac:dyDescent="0.2">
      <c r="A41" s="59">
        <v>23</v>
      </c>
      <c r="B41" s="116"/>
      <c r="C41" s="6" t="s">
        <v>45</v>
      </c>
      <c r="D41" s="12" t="s">
        <v>14</v>
      </c>
      <c r="E41" s="34">
        <f t="shared" ref="E41:E45" si="22">+K41</f>
        <v>548</v>
      </c>
      <c r="F41" s="35">
        <f t="shared" ref="F41:F45" si="23">+M41</f>
        <v>365</v>
      </c>
      <c r="G41" s="23">
        <f t="shared" si="18"/>
        <v>354.05</v>
      </c>
      <c r="H41" s="24">
        <f t="shared" si="18"/>
        <v>346.75</v>
      </c>
      <c r="I41" s="25">
        <f t="shared" si="18"/>
        <v>343.09999999999997</v>
      </c>
      <c r="K41" s="99">
        <v>548</v>
      </c>
      <c r="L41" s="76">
        <f t="shared" si="6"/>
        <v>548</v>
      </c>
      <c r="M41" s="99">
        <v>365</v>
      </c>
      <c r="N41" s="76">
        <f t="shared" si="7"/>
        <v>365</v>
      </c>
      <c r="O41" s="88"/>
      <c r="P41" s="97" t="s">
        <v>291</v>
      </c>
      <c r="Q41" s="96">
        <v>215</v>
      </c>
      <c r="R41" s="96">
        <f t="shared" si="21"/>
        <v>22.5</v>
      </c>
      <c r="S41" s="95"/>
      <c r="T41" s="95">
        <f t="shared" si="1"/>
        <v>237.5</v>
      </c>
      <c r="U41" s="95">
        <v>0.05</v>
      </c>
      <c r="V41" s="95">
        <f t="shared" si="2"/>
        <v>249.375</v>
      </c>
      <c r="W41" s="95">
        <v>0.42199999999999999</v>
      </c>
      <c r="X41" s="95">
        <v>0.5</v>
      </c>
    </row>
    <row r="42" spans="1:27" x14ac:dyDescent="0.2">
      <c r="A42" s="59">
        <v>24</v>
      </c>
      <c r="B42" s="116"/>
      <c r="C42" s="6" t="s">
        <v>46</v>
      </c>
      <c r="D42" s="12" t="s">
        <v>14</v>
      </c>
      <c r="E42" s="34">
        <f t="shared" si="22"/>
        <v>569</v>
      </c>
      <c r="F42" s="35">
        <f t="shared" si="23"/>
        <v>379</v>
      </c>
      <c r="G42" s="23">
        <f t="shared" si="18"/>
        <v>367.63</v>
      </c>
      <c r="H42" s="24">
        <f t="shared" si="18"/>
        <v>360.05</v>
      </c>
      <c r="I42" s="25">
        <f t="shared" si="18"/>
        <v>356.26</v>
      </c>
      <c r="K42" s="99">
        <v>569</v>
      </c>
      <c r="L42" s="76">
        <f t="shared" si="6"/>
        <v>569</v>
      </c>
      <c r="M42" s="99">
        <v>379</v>
      </c>
      <c r="N42" s="76">
        <f t="shared" si="7"/>
        <v>380</v>
      </c>
      <c r="O42" s="88"/>
      <c r="P42" s="97" t="s">
        <v>291</v>
      </c>
      <c r="Q42" s="96">
        <f>195+30</f>
        <v>225</v>
      </c>
      <c r="R42" s="96">
        <f t="shared" si="21"/>
        <v>22.5</v>
      </c>
      <c r="S42" s="95"/>
      <c r="T42" s="95">
        <f t="shared" si="1"/>
        <v>247.5</v>
      </c>
      <c r="U42" s="95">
        <v>0.05</v>
      </c>
      <c r="V42" s="95">
        <f t="shared" si="2"/>
        <v>259.875</v>
      </c>
      <c r="W42" s="95">
        <v>0.41799999999999998</v>
      </c>
      <c r="X42" s="95">
        <v>0.5</v>
      </c>
    </row>
    <row r="43" spans="1:27" x14ac:dyDescent="0.2">
      <c r="A43" s="59">
        <v>25</v>
      </c>
      <c r="B43" s="116"/>
      <c r="C43" s="6" t="s">
        <v>47</v>
      </c>
      <c r="D43" s="12" t="s">
        <v>14</v>
      </c>
      <c r="E43" s="34">
        <f t="shared" si="22"/>
        <v>548</v>
      </c>
      <c r="F43" s="35">
        <f t="shared" si="23"/>
        <v>365</v>
      </c>
      <c r="G43" s="23">
        <f t="shared" ref="G43:I58" si="24">$F43*(1-G$1)</f>
        <v>354.05</v>
      </c>
      <c r="H43" s="24">
        <f t="shared" si="24"/>
        <v>346.75</v>
      </c>
      <c r="I43" s="25">
        <f t="shared" si="24"/>
        <v>343.09999999999997</v>
      </c>
      <c r="K43" s="99">
        <v>548</v>
      </c>
      <c r="L43" s="76">
        <f t="shared" si="6"/>
        <v>548</v>
      </c>
      <c r="M43" s="99">
        <v>365</v>
      </c>
      <c r="N43" s="76">
        <f t="shared" si="7"/>
        <v>365</v>
      </c>
      <c r="O43" s="88"/>
      <c r="P43" s="97" t="s">
        <v>291</v>
      </c>
      <c r="Q43" s="96">
        <f>185+30</f>
        <v>215</v>
      </c>
      <c r="R43" s="96">
        <f t="shared" si="21"/>
        <v>22.5</v>
      </c>
      <c r="S43" s="95"/>
      <c r="T43" s="95">
        <f t="shared" si="1"/>
        <v>237.5</v>
      </c>
      <c r="U43" s="95">
        <v>0.05</v>
      </c>
      <c r="V43" s="95">
        <f t="shared" si="2"/>
        <v>249.375</v>
      </c>
      <c r="W43" s="95">
        <v>0.42199999999999999</v>
      </c>
      <c r="X43" s="95">
        <v>0.5</v>
      </c>
    </row>
    <row r="44" spans="1:27" x14ac:dyDescent="0.2">
      <c r="A44" s="59">
        <v>26</v>
      </c>
      <c r="B44" s="116"/>
      <c r="C44" s="6" t="s">
        <v>250</v>
      </c>
      <c r="D44" s="12" t="s">
        <v>14</v>
      </c>
      <c r="E44" s="34">
        <f t="shared" si="22"/>
        <v>620</v>
      </c>
      <c r="F44" s="35">
        <f t="shared" si="23"/>
        <v>413</v>
      </c>
      <c r="G44" s="23">
        <f t="shared" si="24"/>
        <v>400.61</v>
      </c>
      <c r="H44" s="24">
        <f t="shared" si="24"/>
        <v>392.34999999999997</v>
      </c>
      <c r="I44" s="25">
        <f t="shared" si="24"/>
        <v>388.21999999999997</v>
      </c>
      <c r="K44" s="99">
        <v>620</v>
      </c>
      <c r="L44" s="76">
        <f t="shared" si="6"/>
        <v>620</v>
      </c>
      <c r="M44" s="99">
        <v>413</v>
      </c>
      <c r="N44" s="76">
        <f t="shared" si="7"/>
        <v>413</v>
      </c>
      <c r="O44" s="88"/>
      <c r="P44" s="97" t="s">
        <v>291</v>
      </c>
      <c r="Q44" s="96">
        <f>225+30</f>
        <v>255</v>
      </c>
      <c r="R44" s="96">
        <f t="shared" si="21"/>
        <v>22.5</v>
      </c>
      <c r="S44" s="95"/>
      <c r="T44" s="95">
        <f t="shared" si="1"/>
        <v>277.5</v>
      </c>
      <c r="U44" s="95">
        <v>0.05</v>
      </c>
      <c r="V44" s="95">
        <f t="shared" si="2"/>
        <v>291.375</v>
      </c>
      <c r="W44" s="95">
        <v>0.377</v>
      </c>
      <c r="X44" s="95">
        <v>0.5</v>
      </c>
    </row>
    <row r="45" spans="1:27" x14ac:dyDescent="0.2">
      <c r="A45" s="59">
        <v>27</v>
      </c>
      <c r="B45" s="116"/>
      <c r="C45" s="6" t="s">
        <v>251</v>
      </c>
      <c r="D45" s="12" t="s">
        <v>14</v>
      </c>
      <c r="E45" s="34">
        <f t="shared" si="22"/>
        <v>599</v>
      </c>
      <c r="F45" s="35">
        <f t="shared" si="23"/>
        <v>399</v>
      </c>
      <c r="G45" s="23">
        <f t="shared" si="24"/>
        <v>387.03</v>
      </c>
      <c r="H45" s="24">
        <f t="shared" si="24"/>
        <v>379.04999999999995</v>
      </c>
      <c r="I45" s="25">
        <f t="shared" si="24"/>
        <v>375.06</v>
      </c>
      <c r="K45" s="99">
        <v>599</v>
      </c>
      <c r="L45" s="76">
        <f t="shared" si="6"/>
        <v>599</v>
      </c>
      <c r="M45" s="99">
        <v>399</v>
      </c>
      <c r="N45" s="76">
        <f t="shared" si="7"/>
        <v>400</v>
      </c>
      <c r="O45" s="88"/>
      <c r="P45" s="97" t="s">
        <v>291</v>
      </c>
      <c r="Q45" s="96">
        <f>215+30</f>
        <v>245</v>
      </c>
      <c r="R45" s="96">
        <f t="shared" si="21"/>
        <v>22.5</v>
      </c>
      <c r="S45" s="95"/>
      <c r="T45" s="95">
        <f t="shared" si="1"/>
        <v>267.5</v>
      </c>
      <c r="U45" s="95">
        <v>0.05</v>
      </c>
      <c r="V45" s="95">
        <f t="shared" si="2"/>
        <v>280.875</v>
      </c>
      <c r="W45" s="95">
        <v>0.38100000000000001</v>
      </c>
      <c r="X45" s="95">
        <v>0.5</v>
      </c>
    </row>
    <row r="46" spans="1:27" x14ac:dyDescent="0.2">
      <c r="A46" s="20"/>
      <c r="B46" s="20"/>
      <c r="C46" s="2" t="s">
        <v>49</v>
      </c>
      <c r="D46" s="14"/>
      <c r="E46" s="48"/>
      <c r="F46" s="48"/>
      <c r="G46" s="48"/>
      <c r="H46" s="48"/>
      <c r="I46" s="48"/>
      <c r="K46" s="78"/>
      <c r="L46" s="76"/>
      <c r="M46" s="78"/>
      <c r="N46" s="76"/>
      <c r="O46" s="88"/>
      <c r="T46" s="1">
        <f t="shared" si="1"/>
        <v>0</v>
      </c>
      <c r="V46" s="1">
        <f t="shared" si="2"/>
        <v>0</v>
      </c>
    </row>
    <row r="47" spans="1:27" x14ac:dyDescent="0.2">
      <c r="A47" s="59">
        <v>28</v>
      </c>
      <c r="B47" s="116"/>
      <c r="C47" s="6" t="s">
        <v>51</v>
      </c>
      <c r="D47" s="12" t="s">
        <v>14</v>
      </c>
      <c r="E47" s="34">
        <f>+L47</f>
        <v>476</v>
      </c>
      <c r="F47" s="35">
        <f>+N47</f>
        <v>340</v>
      </c>
      <c r="G47" s="23">
        <f t="shared" si="24"/>
        <v>329.8</v>
      </c>
      <c r="H47" s="24">
        <f t="shared" si="24"/>
        <v>323</v>
      </c>
      <c r="I47" s="25">
        <f t="shared" si="24"/>
        <v>319.59999999999997</v>
      </c>
      <c r="K47" s="76">
        <v>457</v>
      </c>
      <c r="L47" s="99">
        <f t="shared" si="6"/>
        <v>476</v>
      </c>
      <c r="M47" s="76">
        <v>328</v>
      </c>
      <c r="N47" s="99">
        <f t="shared" si="7"/>
        <v>340</v>
      </c>
      <c r="O47" s="88"/>
      <c r="P47" s="97" t="s">
        <v>321</v>
      </c>
      <c r="Q47" s="96">
        <v>155</v>
      </c>
      <c r="R47" s="96">
        <f>1000/24</f>
        <v>41.666666666666664</v>
      </c>
      <c r="S47" s="95"/>
      <c r="T47" s="95">
        <f t="shared" si="1"/>
        <v>196.66666666666666</v>
      </c>
      <c r="U47" s="95">
        <v>0.05</v>
      </c>
      <c r="V47" s="95">
        <f t="shared" si="2"/>
        <v>206.5</v>
      </c>
      <c r="W47" s="95">
        <v>0.6</v>
      </c>
      <c r="X47" s="95">
        <v>0.4</v>
      </c>
    </row>
    <row r="48" spans="1:27" x14ac:dyDescent="0.2">
      <c r="A48" s="59">
        <v>29</v>
      </c>
      <c r="B48" s="116"/>
      <c r="C48" s="6" t="s">
        <v>52</v>
      </c>
      <c r="D48" s="12" t="s">
        <v>14</v>
      </c>
      <c r="E48" s="34">
        <f t="shared" ref="E48:E62" si="25">+L48</f>
        <v>658</v>
      </c>
      <c r="F48" s="35">
        <f t="shared" ref="F48:F62" si="26">+N48</f>
        <v>470</v>
      </c>
      <c r="G48" s="23">
        <f t="shared" si="24"/>
        <v>455.9</v>
      </c>
      <c r="H48" s="24">
        <f t="shared" si="24"/>
        <v>446.5</v>
      </c>
      <c r="I48" s="25">
        <f t="shared" si="24"/>
        <v>441.79999999999995</v>
      </c>
      <c r="K48" s="76">
        <v>603</v>
      </c>
      <c r="L48" s="99">
        <f t="shared" si="6"/>
        <v>658</v>
      </c>
      <c r="M48" s="76">
        <v>432</v>
      </c>
      <c r="N48" s="99">
        <f t="shared" si="7"/>
        <v>470</v>
      </c>
      <c r="O48" s="88"/>
      <c r="P48" s="97" t="s">
        <v>321</v>
      </c>
      <c r="Q48" s="96">
        <v>230</v>
      </c>
      <c r="R48" s="96">
        <f t="shared" ref="R48:R61" si="27">1000/24</f>
        <v>41.666666666666664</v>
      </c>
      <c r="S48" s="95"/>
      <c r="T48" s="95">
        <f t="shared" si="1"/>
        <v>271.66666666666669</v>
      </c>
      <c r="U48" s="95">
        <v>0.05</v>
      </c>
      <c r="V48" s="95">
        <f t="shared" si="2"/>
        <v>285.25000000000006</v>
      </c>
      <c r="W48" s="95">
        <v>0.6</v>
      </c>
      <c r="X48" s="95">
        <v>0.4</v>
      </c>
    </row>
    <row r="49" spans="1:24" x14ac:dyDescent="0.2">
      <c r="A49" s="59">
        <v>30</v>
      </c>
      <c r="B49" s="116"/>
      <c r="C49" s="6" t="s">
        <v>53</v>
      </c>
      <c r="D49" s="12" t="s">
        <v>14</v>
      </c>
      <c r="E49" s="34">
        <f t="shared" si="25"/>
        <v>440</v>
      </c>
      <c r="F49" s="35">
        <f t="shared" si="26"/>
        <v>314</v>
      </c>
      <c r="G49" s="23">
        <f t="shared" si="24"/>
        <v>304.58</v>
      </c>
      <c r="H49" s="24">
        <f t="shared" si="24"/>
        <v>298.3</v>
      </c>
      <c r="I49" s="25">
        <f t="shared" si="24"/>
        <v>295.15999999999997</v>
      </c>
      <c r="K49" s="76">
        <v>424</v>
      </c>
      <c r="L49" s="99">
        <f t="shared" si="6"/>
        <v>440</v>
      </c>
      <c r="M49" s="76">
        <v>304</v>
      </c>
      <c r="N49" s="99">
        <f t="shared" si="7"/>
        <v>314</v>
      </c>
      <c r="O49" s="88"/>
      <c r="P49" s="97" t="s">
        <v>321</v>
      </c>
      <c r="Q49" s="96">
        <v>140</v>
      </c>
      <c r="R49" s="96">
        <f t="shared" si="27"/>
        <v>41.666666666666664</v>
      </c>
      <c r="S49" s="95"/>
      <c r="T49" s="95">
        <f t="shared" si="1"/>
        <v>181.66666666666666</v>
      </c>
      <c r="U49" s="95">
        <v>0.05</v>
      </c>
      <c r="V49" s="95">
        <f t="shared" si="2"/>
        <v>190.75</v>
      </c>
      <c r="W49" s="95">
        <v>0.6</v>
      </c>
      <c r="X49" s="95">
        <v>0.4</v>
      </c>
    </row>
    <row r="50" spans="1:24" x14ac:dyDescent="0.2">
      <c r="A50" s="59">
        <v>31</v>
      </c>
      <c r="B50" s="116"/>
      <c r="C50" s="6" t="s">
        <v>54</v>
      </c>
      <c r="D50" s="12" t="s">
        <v>14</v>
      </c>
      <c r="E50" s="34">
        <f t="shared" si="25"/>
        <v>634</v>
      </c>
      <c r="F50" s="35">
        <f t="shared" si="26"/>
        <v>453</v>
      </c>
      <c r="G50" s="23">
        <f t="shared" si="24"/>
        <v>439.40999999999997</v>
      </c>
      <c r="H50" s="24">
        <f t="shared" si="24"/>
        <v>430.34999999999997</v>
      </c>
      <c r="I50" s="25">
        <f t="shared" si="24"/>
        <v>425.82</v>
      </c>
      <c r="K50" s="76">
        <v>607</v>
      </c>
      <c r="L50" s="99">
        <f t="shared" si="6"/>
        <v>634</v>
      </c>
      <c r="M50" s="76">
        <v>435</v>
      </c>
      <c r="N50" s="99">
        <f t="shared" si="7"/>
        <v>453</v>
      </c>
      <c r="O50" s="88"/>
      <c r="P50" s="97" t="s">
        <v>321</v>
      </c>
      <c r="Q50" s="96">
        <v>220</v>
      </c>
      <c r="R50" s="96">
        <f t="shared" si="27"/>
        <v>41.666666666666664</v>
      </c>
      <c r="S50" s="95"/>
      <c r="T50" s="95">
        <f t="shared" si="1"/>
        <v>261.66666666666669</v>
      </c>
      <c r="U50" s="95">
        <v>0.05</v>
      </c>
      <c r="V50" s="95">
        <f t="shared" si="2"/>
        <v>274.75000000000006</v>
      </c>
      <c r="W50" s="95">
        <v>0.6</v>
      </c>
      <c r="X50" s="95">
        <v>0.4</v>
      </c>
    </row>
    <row r="51" spans="1:24" x14ac:dyDescent="0.2">
      <c r="A51" s="59">
        <v>32</v>
      </c>
      <c r="B51" s="116"/>
      <c r="C51" s="6" t="s">
        <v>55</v>
      </c>
      <c r="D51" s="12" t="s">
        <v>14</v>
      </c>
      <c r="E51" s="34">
        <f t="shared" si="25"/>
        <v>506</v>
      </c>
      <c r="F51" s="35">
        <f t="shared" si="26"/>
        <v>362</v>
      </c>
      <c r="G51" s="23">
        <f t="shared" si="24"/>
        <v>351.14</v>
      </c>
      <c r="H51" s="24">
        <f t="shared" si="24"/>
        <v>343.9</v>
      </c>
      <c r="I51" s="25">
        <f t="shared" si="24"/>
        <v>340.28</v>
      </c>
      <c r="K51" s="76">
        <v>501</v>
      </c>
      <c r="L51" s="99">
        <f t="shared" si="6"/>
        <v>506</v>
      </c>
      <c r="M51" s="76">
        <v>359</v>
      </c>
      <c r="N51" s="99">
        <f t="shared" si="7"/>
        <v>362</v>
      </c>
      <c r="O51" s="88"/>
      <c r="P51" s="97" t="s">
        <v>321</v>
      </c>
      <c r="Q51" s="96">
        <v>155</v>
      </c>
      <c r="R51" s="96">
        <f t="shared" si="27"/>
        <v>41.666666666666664</v>
      </c>
      <c r="S51" s="95"/>
      <c r="T51" s="95">
        <f t="shared" si="1"/>
        <v>196.66666666666666</v>
      </c>
      <c r="U51" s="95">
        <v>0.05</v>
      </c>
      <c r="V51" s="95">
        <f t="shared" si="2"/>
        <v>206.5</v>
      </c>
      <c r="W51" s="95">
        <v>0.7</v>
      </c>
      <c r="X51" s="95">
        <v>0.4</v>
      </c>
    </row>
    <row r="52" spans="1:24" x14ac:dyDescent="0.2">
      <c r="A52" s="59">
        <v>33</v>
      </c>
      <c r="B52" s="116"/>
      <c r="C52" s="6" t="s">
        <v>56</v>
      </c>
      <c r="D52" s="12" t="s">
        <v>14</v>
      </c>
      <c r="E52" s="34">
        <f t="shared" si="25"/>
        <v>468</v>
      </c>
      <c r="F52" s="35">
        <f t="shared" si="26"/>
        <v>334</v>
      </c>
      <c r="G52" s="23">
        <f t="shared" si="24"/>
        <v>323.98</v>
      </c>
      <c r="H52" s="24">
        <f t="shared" si="24"/>
        <v>317.3</v>
      </c>
      <c r="I52" s="25">
        <f t="shared" si="24"/>
        <v>313.95999999999998</v>
      </c>
      <c r="K52" s="76">
        <v>462</v>
      </c>
      <c r="L52" s="99">
        <f t="shared" si="6"/>
        <v>468</v>
      </c>
      <c r="M52" s="76">
        <v>331</v>
      </c>
      <c r="N52" s="99">
        <f t="shared" si="7"/>
        <v>334</v>
      </c>
      <c r="O52" s="88"/>
      <c r="P52" s="97" t="s">
        <v>321</v>
      </c>
      <c r="Q52" s="96">
        <v>140</v>
      </c>
      <c r="R52" s="96">
        <f t="shared" si="27"/>
        <v>41.666666666666664</v>
      </c>
      <c r="S52" s="95"/>
      <c r="T52" s="95">
        <f t="shared" si="1"/>
        <v>181.66666666666666</v>
      </c>
      <c r="U52" s="95">
        <v>0.05</v>
      </c>
      <c r="V52" s="95">
        <f t="shared" si="2"/>
        <v>190.75</v>
      </c>
      <c r="W52" s="95">
        <v>0.7</v>
      </c>
      <c r="X52" s="95">
        <v>0.4</v>
      </c>
    </row>
    <row r="53" spans="1:24" x14ac:dyDescent="0.2">
      <c r="A53" s="59">
        <v>34</v>
      </c>
      <c r="B53" s="116"/>
      <c r="C53" s="6" t="s">
        <v>57</v>
      </c>
      <c r="D53" s="12" t="s">
        <v>14</v>
      </c>
      <c r="E53" s="34">
        <f t="shared" si="25"/>
        <v>699</v>
      </c>
      <c r="F53" s="35">
        <f t="shared" si="26"/>
        <v>499</v>
      </c>
      <c r="G53" s="23">
        <f t="shared" si="24"/>
        <v>484.03</v>
      </c>
      <c r="H53" s="24">
        <f t="shared" si="24"/>
        <v>474.04999999999995</v>
      </c>
      <c r="I53" s="25">
        <f t="shared" si="24"/>
        <v>469.05999999999995</v>
      </c>
      <c r="K53" s="76">
        <v>612</v>
      </c>
      <c r="L53" s="99">
        <f t="shared" si="6"/>
        <v>699</v>
      </c>
      <c r="M53" s="76">
        <v>446</v>
      </c>
      <c r="N53" s="99">
        <f t="shared" si="7"/>
        <v>499</v>
      </c>
      <c r="O53" s="88"/>
      <c r="P53" s="97" t="s">
        <v>321</v>
      </c>
      <c r="Q53" s="96">
        <v>230</v>
      </c>
      <c r="R53" s="96">
        <f t="shared" si="27"/>
        <v>41.666666666666664</v>
      </c>
      <c r="S53" s="95"/>
      <c r="T53" s="95">
        <f t="shared" si="1"/>
        <v>271.66666666666669</v>
      </c>
      <c r="U53" s="95">
        <v>0.05</v>
      </c>
      <c r="V53" s="95">
        <f t="shared" si="2"/>
        <v>285.25000000000006</v>
      </c>
      <c r="W53" s="95">
        <v>0.7</v>
      </c>
      <c r="X53" s="95">
        <v>0.4</v>
      </c>
    </row>
    <row r="54" spans="1:24" x14ac:dyDescent="0.2">
      <c r="A54" s="59">
        <v>35</v>
      </c>
      <c r="B54" s="116"/>
      <c r="C54" s="6" t="s">
        <v>58</v>
      </c>
      <c r="D54" s="12" t="s">
        <v>14</v>
      </c>
      <c r="E54" s="34">
        <f t="shared" si="25"/>
        <v>551</v>
      </c>
      <c r="F54" s="35">
        <f t="shared" si="26"/>
        <v>393</v>
      </c>
      <c r="G54" s="23">
        <f t="shared" si="24"/>
        <v>381.21</v>
      </c>
      <c r="H54" s="24">
        <f t="shared" si="24"/>
        <v>373.34999999999997</v>
      </c>
      <c r="I54" s="25">
        <f t="shared" si="24"/>
        <v>369.41999999999996</v>
      </c>
      <c r="K54" s="76">
        <v>564</v>
      </c>
      <c r="L54" s="99">
        <f t="shared" si="6"/>
        <v>551</v>
      </c>
      <c r="M54" s="76">
        <v>404</v>
      </c>
      <c r="N54" s="99">
        <f t="shared" si="7"/>
        <v>393</v>
      </c>
      <c r="O54" s="88"/>
      <c r="P54" s="97" t="s">
        <v>321</v>
      </c>
      <c r="Q54" s="96">
        <v>155</v>
      </c>
      <c r="R54" s="96">
        <f t="shared" si="27"/>
        <v>41.666666666666664</v>
      </c>
      <c r="S54" s="95"/>
      <c r="T54" s="95">
        <f t="shared" si="1"/>
        <v>196.66666666666666</v>
      </c>
      <c r="U54" s="95">
        <v>0.05</v>
      </c>
      <c r="V54" s="95">
        <f t="shared" si="2"/>
        <v>206.5</v>
      </c>
      <c r="W54" s="95">
        <v>0.85</v>
      </c>
      <c r="X54" s="95">
        <v>0.4</v>
      </c>
    </row>
    <row r="55" spans="1:24" x14ac:dyDescent="0.2">
      <c r="A55" s="59">
        <v>36</v>
      </c>
      <c r="B55" s="116"/>
      <c r="C55" s="6" t="s">
        <v>59</v>
      </c>
      <c r="D55" s="12" t="s">
        <v>14</v>
      </c>
      <c r="E55" s="34">
        <f t="shared" si="25"/>
        <v>761</v>
      </c>
      <c r="F55" s="35">
        <f t="shared" si="26"/>
        <v>544</v>
      </c>
      <c r="G55" s="23">
        <f t="shared" si="24"/>
        <v>527.67999999999995</v>
      </c>
      <c r="H55" s="24">
        <f t="shared" si="24"/>
        <v>516.79999999999995</v>
      </c>
      <c r="I55" s="25">
        <f t="shared" si="24"/>
        <v>511.35999999999996</v>
      </c>
      <c r="K55" s="76">
        <v>698</v>
      </c>
      <c r="L55" s="99">
        <f t="shared" si="6"/>
        <v>761</v>
      </c>
      <c r="M55" s="76">
        <v>500</v>
      </c>
      <c r="N55" s="99">
        <f t="shared" si="7"/>
        <v>544</v>
      </c>
      <c r="O55" s="88"/>
      <c r="P55" s="97" t="s">
        <v>321</v>
      </c>
      <c r="Q55" s="96">
        <v>230</v>
      </c>
      <c r="R55" s="96">
        <f t="shared" si="27"/>
        <v>41.666666666666664</v>
      </c>
      <c r="S55" s="95"/>
      <c r="T55" s="95">
        <f t="shared" si="1"/>
        <v>271.66666666666669</v>
      </c>
      <c r="U55" s="95">
        <v>0.05</v>
      </c>
      <c r="V55" s="95">
        <f t="shared" si="2"/>
        <v>285.25000000000006</v>
      </c>
      <c r="W55" s="95">
        <v>0.85</v>
      </c>
      <c r="X55" s="95">
        <v>0.4</v>
      </c>
    </row>
    <row r="56" spans="1:24" x14ac:dyDescent="0.2">
      <c r="A56" s="59">
        <v>37</v>
      </c>
      <c r="B56" s="116"/>
      <c r="C56" s="6" t="s">
        <v>60</v>
      </c>
      <c r="D56" s="12" t="s">
        <v>14</v>
      </c>
      <c r="E56" s="34">
        <f t="shared" si="25"/>
        <v>509</v>
      </c>
      <c r="F56" s="35">
        <f t="shared" si="26"/>
        <v>363</v>
      </c>
      <c r="G56" s="23">
        <f t="shared" si="24"/>
        <v>352.11</v>
      </c>
      <c r="H56" s="24">
        <f t="shared" si="24"/>
        <v>344.84999999999997</v>
      </c>
      <c r="I56" s="25">
        <f t="shared" si="24"/>
        <v>341.21999999999997</v>
      </c>
      <c r="K56" s="76">
        <v>525</v>
      </c>
      <c r="L56" s="99">
        <f t="shared" si="6"/>
        <v>509</v>
      </c>
      <c r="M56" s="76">
        <v>376</v>
      </c>
      <c r="N56" s="99">
        <f t="shared" si="7"/>
        <v>363</v>
      </c>
      <c r="O56" s="88"/>
      <c r="P56" s="97" t="s">
        <v>321</v>
      </c>
      <c r="Q56" s="96">
        <v>140</v>
      </c>
      <c r="R56" s="96">
        <f t="shared" si="27"/>
        <v>41.666666666666664</v>
      </c>
      <c r="S56" s="95"/>
      <c r="T56" s="95">
        <f t="shared" si="1"/>
        <v>181.66666666666666</v>
      </c>
      <c r="U56" s="95">
        <v>0.05</v>
      </c>
      <c r="V56" s="95">
        <f t="shared" si="2"/>
        <v>190.75</v>
      </c>
      <c r="W56" s="95">
        <v>0.85</v>
      </c>
      <c r="X56" s="95">
        <v>0.4</v>
      </c>
    </row>
    <row r="57" spans="1:24" x14ac:dyDescent="0.2">
      <c r="A57" s="59">
        <v>38</v>
      </c>
      <c r="B57" s="116"/>
      <c r="C57" s="6" t="s">
        <v>61</v>
      </c>
      <c r="D57" s="12" t="s">
        <v>14</v>
      </c>
      <c r="E57" s="34">
        <f t="shared" si="25"/>
        <v>733</v>
      </c>
      <c r="F57" s="35">
        <f t="shared" si="26"/>
        <v>524</v>
      </c>
      <c r="G57" s="23">
        <f t="shared" si="24"/>
        <v>508.28</v>
      </c>
      <c r="H57" s="24">
        <f t="shared" si="24"/>
        <v>497.79999999999995</v>
      </c>
      <c r="I57" s="25">
        <f t="shared" si="24"/>
        <v>492.55999999999995</v>
      </c>
      <c r="K57" s="76">
        <v>704</v>
      </c>
      <c r="L57" s="99">
        <f t="shared" si="6"/>
        <v>733</v>
      </c>
      <c r="M57" s="76">
        <v>504</v>
      </c>
      <c r="N57" s="99">
        <f t="shared" si="7"/>
        <v>524</v>
      </c>
      <c r="O57" s="88"/>
      <c r="P57" s="97" t="s">
        <v>321</v>
      </c>
      <c r="Q57" s="96">
        <v>220</v>
      </c>
      <c r="R57" s="96">
        <f t="shared" si="27"/>
        <v>41.666666666666664</v>
      </c>
      <c r="S57" s="95"/>
      <c r="T57" s="95">
        <f t="shared" si="1"/>
        <v>261.66666666666669</v>
      </c>
      <c r="U57" s="95">
        <v>0.05</v>
      </c>
      <c r="V57" s="95">
        <f t="shared" si="2"/>
        <v>274.75000000000006</v>
      </c>
      <c r="W57" s="95">
        <v>0.85</v>
      </c>
      <c r="X57" s="95">
        <v>0.4</v>
      </c>
    </row>
    <row r="58" spans="1:24" x14ac:dyDescent="0.2">
      <c r="A58" s="59">
        <v>39</v>
      </c>
      <c r="B58" s="116"/>
      <c r="C58" s="6" t="s">
        <v>62</v>
      </c>
      <c r="D58" s="12" t="s">
        <v>14</v>
      </c>
      <c r="E58" s="34">
        <f t="shared" si="25"/>
        <v>521</v>
      </c>
      <c r="F58" s="35">
        <f t="shared" si="26"/>
        <v>372</v>
      </c>
      <c r="G58" s="23">
        <f t="shared" si="24"/>
        <v>360.84</v>
      </c>
      <c r="H58" s="24">
        <f t="shared" si="24"/>
        <v>353.4</v>
      </c>
      <c r="I58" s="25">
        <f t="shared" si="24"/>
        <v>349.68</v>
      </c>
      <c r="K58" s="76">
        <v>514</v>
      </c>
      <c r="L58" s="99">
        <f t="shared" si="6"/>
        <v>521</v>
      </c>
      <c r="M58" s="76">
        <v>368</v>
      </c>
      <c r="N58" s="99">
        <f t="shared" si="7"/>
        <v>372</v>
      </c>
      <c r="O58" s="88"/>
      <c r="P58" s="97" t="s">
        <v>321</v>
      </c>
      <c r="Q58" s="96">
        <v>155</v>
      </c>
      <c r="R58" s="96">
        <f t="shared" si="27"/>
        <v>41.666666666666664</v>
      </c>
      <c r="S58" s="95"/>
      <c r="T58" s="95">
        <f t="shared" si="1"/>
        <v>196.66666666666666</v>
      </c>
      <c r="U58" s="95">
        <v>0.05</v>
      </c>
      <c r="V58" s="95">
        <f t="shared" si="2"/>
        <v>206.5</v>
      </c>
      <c r="W58" s="95">
        <v>0.75</v>
      </c>
      <c r="X58" s="95">
        <v>0.4</v>
      </c>
    </row>
    <row r="59" spans="1:24" x14ac:dyDescent="0.2">
      <c r="A59" s="59">
        <v>40</v>
      </c>
      <c r="B59" s="116"/>
      <c r="C59" s="6" t="s">
        <v>63</v>
      </c>
      <c r="D59" s="12" t="s">
        <v>14</v>
      </c>
      <c r="E59" s="34">
        <f t="shared" si="25"/>
        <v>720</v>
      </c>
      <c r="F59" s="35">
        <f t="shared" si="26"/>
        <v>514</v>
      </c>
      <c r="G59" s="23">
        <f t="shared" ref="G59:I74" si="28">$F59*(1-G$1)</f>
        <v>498.58</v>
      </c>
      <c r="H59" s="24">
        <f t="shared" si="28"/>
        <v>488.29999999999995</v>
      </c>
      <c r="I59" s="25">
        <f t="shared" si="28"/>
        <v>483.15999999999997</v>
      </c>
      <c r="K59" s="76">
        <v>687</v>
      </c>
      <c r="L59" s="99">
        <f t="shared" si="6"/>
        <v>720</v>
      </c>
      <c r="M59" s="76">
        <v>492</v>
      </c>
      <c r="N59" s="99">
        <f t="shared" si="7"/>
        <v>514</v>
      </c>
      <c r="O59" s="88"/>
      <c r="P59" s="97" t="s">
        <v>321</v>
      </c>
      <c r="Q59" s="96">
        <v>230</v>
      </c>
      <c r="R59" s="96">
        <f t="shared" si="27"/>
        <v>41.666666666666664</v>
      </c>
      <c r="S59" s="95"/>
      <c r="T59" s="95">
        <f t="shared" si="1"/>
        <v>271.66666666666669</v>
      </c>
      <c r="U59" s="95">
        <v>0.05</v>
      </c>
      <c r="V59" s="95">
        <f t="shared" si="2"/>
        <v>285.25000000000006</v>
      </c>
      <c r="W59" s="95">
        <v>0.75</v>
      </c>
      <c r="X59" s="95">
        <v>0.4</v>
      </c>
    </row>
    <row r="60" spans="1:24" x14ac:dyDescent="0.2">
      <c r="A60" s="59">
        <v>41</v>
      </c>
      <c r="B60" s="116"/>
      <c r="C60" s="6" t="s">
        <v>64</v>
      </c>
      <c r="D60" s="12" t="s">
        <v>14</v>
      </c>
      <c r="E60" s="34">
        <f t="shared" si="25"/>
        <v>481</v>
      </c>
      <c r="F60" s="35">
        <f t="shared" si="26"/>
        <v>344</v>
      </c>
      <c r="G60" s="23">
        <f t="shared" si="28"/>
        <v>333.68</v>
      </c>
      <c r="H60" s="24">
        <f t="shared" si="28"/>
        <v>326.8</v>
      </c>
      <c r="I60" s="25">
        <f t="shared" si="28"/>
        <v>323.35999999999996</v>
      </c>
      <c r="K60" s="76">
        <v>568</v>
      </c>
      <c r="L60" s="99">
        <f t="shared" si="6"/>
        <v>481</v>
      </c>
      <c r="M60" s="76">
        <v>407</v>
      </c>
      <c r="N60" s="99">
        <f t="shared" si="7"/>
        <v>344</v>
      </c>
      <c r="O60" s="88"/>
      <c r="P60" s="97" t="s">
        <v>321</v>
      </c>
      <c r="Q60" s="96">
        <v>140</v>
      </c>
      <c r="R60" s="96">
        <f t="shared" si="27"/>
        <v>41.666666666666664</v>
      </c>
      <c r="S60" s="95"/>
      <c r="T60" s="95">
        <f t="shared" si="1"/>
        <v>181.66666666666666</v>
      </c>
      <c r="U60" s="95">
        <v>0.05</v>
      </c>
      <c r="V60" s="95">
        <f t="shared" si="2"/>
        <v>190.75</v>
      </c>
      <c r="W60" s="95">
        <v>0.75</v>
      </c>
      <c r="X60" s="95">
        <v>0.4</v>
      </c>
    </row>
    <row r="61" spans="1:24" x14ac:dyDescent="0.2">
      <c r="A61" s="59">
        <v>42</v>
      </c>
      <c r="B61" s="116"/>
      <c r="C61" s="6" t="s">
        <v>65</v>
      </c>
      <c r="D61" s="12" t="s">
        <v>14</v>
      </c>
      <c r="E61" s="34">
        <f t="shared" si="25"/>
        <v>693</v>
      </c>
      <c r="F61" s="35">
        <f t="shared" si="26"/>
        <v>495</v>
      </c>
      <c r="G61" s="23">
        <f t="shared" si="28"/>
        <v>480.15</v>
      </c>
      <c r="H61" s="24">
        <f t="shared" si="28"/>
        <v>470.25</v>
      </c>
      <c r="I61" s="25">
        <f t="shared" si="28"/>
        <v>465.29999999999995</v>
      </c>
      <c r="K61" s="76">
        <v>663</v>
      </c>
      <c r="L61" s="99">
        <f t="shared" si="6"/>
        <v>693</v>
      </c>
      <c r="M61" s="76">
        <v>475</v>
      </c>
      <c r="N61" s="99">
        <f t="shared" si="7"/>
        <v>495</v>
      </c>
      <c r="O61" s="88"/>
      <c r="P61" s="97" t="s">
        <v>321</v>
      </c>
      <c r="Q61" s="96">
        <v>220</v>
      </c>
      <c r="R61" s="96">
        <f t="shared" si="27"/>
        <v>41.666666666666664</v>
      </c>
      <c r="S61" s="95"/>
      <c r="T61" s="95">
        <f t="shared" si="1"/>
        <v>261.66666666666669</v>
      </c>
      <c r="U61" s="95">
        <v>0.05</v>
      </c>
      <c r="V61" s="95">
        <f t="shared" si="2"/>
        <v>274.75000000000006</v>
      </c>
      <c r="W61" s="95">
        <v>0.75</v>
      </c>
      <c r="X61" s="95">
        <v>0.4</v>
      </c>
    </row>
    <row r="62" spans="1:24" x14ac:dyDescent="0.2">
      <c r="A62" s="19">
        <v>43</v>
      </c>
      <c r="B62" s="151"/>
      <c r="C62" s="8" t="s">
        <v>426</v>
      </c>
      <c r="D62" s="12" t="s">
        <v>14</v>
      </c>
      <c r="E62" s="34">
        <f t="shared" si="25"/>
        <v>767</v>
      </c>
      <c r="F62" s="35">
        <f t="shared" si="26"/>
        <v>511</v>
      </c>
      <c r="G62" s="23">
        <f t="shared" si="28"/>
        <v>495.66999999999996</v>
      </c>
      <c r="H62" s="24">
        <f t="shared" si="28"/>
        <v>485.45</v>
      </c>
      <c r="I62" s="25">
        <f t="shared" si="28"/>
        <v>480.34</v>
      </c>
      <c r="K62" s="76"/>
      <c r="L62" s="99">
        <f t="shared" si="6"/>
        <v>767</v>
      </c>
      <c r="M62" s="76"/>
      <c r="N62" s="99">
        <f t="shared" si="7"/>
        <v>511</v>
      </c>
      <c r="O62" s="88"/>
      <c r="P62" s="97" t="s">
        <v>291</v>
      </c>
      <c r="Q62" s="96">
        <v>315</v>
      </c>
      <c r="R62" s="96">
        <v>22.5</v>
      </c>
      <c r="S62" s="95"/>
      <c r="T62" s="95">
        <f t="shared" ref="T62" si="29">SUM(Q62:S62)</f>
        <v>337.5</v>
      </c>
      <c r="U62" s="95">
        <v>0.05</v>
      </c>
      <c r="V62" s="95">
        <f t="shared" si="2"/>
        <v>354.375</v>
      </c>
      <c r="W62" s="95">
        <v>0.4</v>
      </c>
      <c r="X62" s="95">
        <v>0.5</v>
      </c>
    </row>
    <row r="63" spans="1:24" x14ac:dyDescent="0.2">
      <c r="A63" s="20"/>
      <c r="B63" s="20"/>
      <c r="C63" s="2" t="s">
        <v>66</v>
      </c>
      <c r="D63" s="14"/>
      <c r="E63" s="48"/>
      <c r="F63" s="48"/>
      <c r="G63" s="48"/>
      <c r="H63" s="48"/>
      <c r="I63" s="48"/>
      <c r="K63" s="78"/>
      <c r="L63" s="76"/>
      <c r="M63" s="78"/>
      <c r="N63" s="76"/>
      <c r="O63" s="88"/>
      <c r="T63" s="1">
        <f t="shared" si="1"/>
        <v>0</v>
      </c>
      <c r="V63" s="1">
        <f t="shared" si="2"/>
        <v>0</v>
      </c>
    </row>
    <row r="64" spans="1:24" x14ac:dyDescent="0.2">
      <c r="A64" s="61">
        <v>44</v>
      </c>
      <c r="B64" s="118"/>
      <c r="C64" s="8" t="s">
        <v>67</v>
      </c>
      <c r="D64" s="15" t="s">
        <v>188</v>
      </c>
      <c r="E64" s="34">
        <f t="shared" ref="E64:E65" si="30">L64</f>
        <v>201</v>
      </c>
      <c r="F64" s="35">
        <f t="shared" ref="F64:F65" si="31">N64</f>
        <v>149</v>
      </c>
      <c r="G64" s="23">
        <f t="shared" si="28"/>
        <v>144.53</v>
      </c>
      <c r="H64" s="24">
        <f t="shared" si="28"/>
        <v>141.54999999999998</v>
      </c>
      <c r="I64" s="25">
        <f t="shared" si="28"/>
        <v>140.06</v>
      </c>
      <c r="K64" s="79">
        <v>187</v>
      </c>
      <c r="L64" s="99">
        <f t="shared" si="6"/>
        <v>201</v>
      </c>
      <c r="M64" s="79">
        <v>139</v>
      </c>
      <c r="N64" s="99">
        <f t="shared" si="7"/>
        <v>149</v>
      </c>
      <c r="O64" s="88"/>
      <c r="P64" s="97" t="s">
        <v>322</v>
      </c>
      <c r="Q64" s="96">
        <v>60</v>
      </c>
      <c r="R64" s="96">
        <f>1000/12/6</f>
        <v>13.888888888888888</v>
      </c>
      <c r="S64" s="95"/>
      <c r="T64" s="95">
        <f t="shared" si="1"/>
        <v>73.888888888888886</v>
      </c>
      <c r="U64" s="95"/>
      <c r="V64" s="95">
        <f t="shared" si="2"/>
        <v>73.888888888888886</v>
      </c>
      <c r="W64" s="95">
        <v>0.96</v>
      </c>
      <c r="X64" s="95">
        <v>0.34499999999999997</v>
      </c>
    </row>
    <row r="65" spans="1:24" x14ac:dyDescent="0.2">
      <c r="A65" s="59">
        <v>45</v>
      </c>
      <c r="B65" s="116"/>
      <c r="C65" s="6" t="s">
        <v>68</v>
      </c>
      <c r="D65" s="12" t="s">
        <v>188</v>
      </c>
      <c r="E65" s="34">
        <f t="shared" si="30"/>
        <v>154</v>
      </c>
      <c r="F65" s="35">
        <f t="shared" si="31"/>
        <v>114</v>
      </c>
      <c r="G65" s="23">
        <f t="shared" si="28"/>
        <v>110.58</v>
      </c>
      <c r="H65" s="24">
        <f t="shared" si="28"/>
        <v>108.3</v>
      </c>
      <c r="I65" s="25">
        <f t="shared" si="28"/>
        <v>107.16</v>
      </c>
      <c r="K65" s="76">
        <v>159</v>
      </c>
      <c r="L65" s="99">
        <f t="shared" si="6"/>
        <v>154</v>
      </c>
      <c r="M65" s="76">
        <v>119</v>
      </c>
      <c r="N65" s="99">
        <f t="shared" si="7"/>
        <v>114</v>
      </c>
      <c r="O65" s="88"/>
      <c r="P65" s="97" t="s">
        <v>306</v>
      </c>
      <c r="Q65" s="96">
        <v>63.5</v>
      </c>
      <c r="R65" s="96">
        <f>175/10/5</f>
        <v>3.5</v>
      </c>
      <c r="S65" s="95"/>
      <c r="T65" s="95">
        <f t="shared" si="1"/>
        <v>67</v>
      </c>
      <c r="U65" s="95"/>
      <c r="V65" s="95">
        <f t="shared" si="2"/>
        <v>67</v>
      </c>
      <c r="W65" s="95">
        <v>0.65</v>
      </c>
      <c r="X65" s="95">
        <v>0.35</v>
      </c>
    </row>
    <row r="66" spans="1:24" x14ac:dyDescent="0.2">
      <c r="A66" s="60">
        <v>46</v>
      </c>
      <c r="B66" s="117"/>
      <c r="C66" s="6" t="s">
        <v>69</v>
      </c>
      <c r="D66" s="12" t="s">
        <v>188</v>
      </c>
      <c r="E66" s="34">
        <f>+K66</f>
        <v>251</v>
      </c>
      <c r="F66" s="35">
        <f>+M66</f>
        <v>187</v>
      </c>
      <c r="G66" s="23">
        <f t="shared" si="28"/>
        <v>181.39</v>
      </c>
      <c r="H66" s="24">
        <f t="shared" si="28"/>
        <v>177.65</v>
      </c>
      <c r="I66" s="25">
        <f t="shared" si="28"/>
        <v>175.78</v>
      </c>
      <c r="K66" s="99">
        <v>251</v>
      </c>
      <c r="L66" s="76">
        <f t="shared" si="6"/>
        <v>239</v>
      </c>
      <c r="M66" s="99">
        <v>187</v>
      </c>
      <c r="N66" s="76">
        <f t="shared" si="7"/>
        <v>178</v>
      </c>
      <c r="O66" s="88"/>
      <c r="P66" s="97" t="s">
        <v>291</v>
      </c>
      <c r="Q66" s="96">
        <v>125</v>
      </c>
      <c r="R66" s="96">
        <f>540/16/10</f>
        <v>3.375</v>
      </c>
      <c r="S66" s="95"/>
      <c r="T66" s="95">
        <f t="shared" si="1"/>
        <v>128.375</v>
      </c>
      <c r="U66" s="95"/>
      <c r="V66" s="95">
        <f t="shared" si="2"/>
        <v>128.375</v>
      </c>
      <c r="W66" s="95">
        <v>0.34799999999999998</v>
      </c>
      <c r="X66" s="95">
        <v>0.34</v>
      </c>
    </row>
    <row r="67" spans="1:24" x14ac:dyDescent="0.2">
      <c r="A67" s="20"/>
      <c r="B67" s="20"/>
      <c r="C67" s="2" t="s">
        <v>70</v>
      </c>
      <c r="D67" s="14"/>
      <c r="E67" s="49"/>
      <c r="F67" s="50"/>
      <c r="G67" s="50"/>
      <c r="H67" s="50"/>
      <c r="I67" s="50"/>
      <c r="K67" s="80"/>
      <c r="L67" s="76"/>
      <c r="M67" s="81"/>
      <c r="N67" s="76"/>
      <c r="O67" s="88"/>
      <c r="T67" s="1">
        <f t="shared" si="1"/>
        <v>0</v>
      </c>
      <c r="V67" s="1">
        <f t="shared" si="2"/>
        <v>0</v>
      </c>
    </row>
    <row r="68" spans="1:24" x14ac:dyDescent="0.2">
      <c r="A68" s="61"/>
      <c r="B68" s="118"/>
      <c r="C68" s="8" t="s">
        <v>71</v>
      </c>
      <c r="D68" s="15" t="s">
        <v>189</v>
      </c>
      <c r="E68" s="34">
        <f>+K68</f>
        <v>25</v>
      </c>
      <c r="F68" s="35">
        <f>+M68</f>
        <v>25</v>
      </c>
      <c r="G68" s="23">
        <v>25</v>
      </c>
      <c r="H68" s="24">
        <v>25</v>
      </c>
      <c r="I68" s="25">
        <v>25</v>
      </c>
      <c r="K68" s="101">
        <v>25</v>
      </c>
      <c r="L68" s="76">
        <f t="shared" si="6"/>
        <v>0</v>
      </c>
      <c r="M68" s="101">
        <v>25</v>
      </c>
      <c r="N68" s="76">
        <f t="shared" si="7"/>
        <v>0</v>
      </c>
      <c r="O68" s="88"/>
      <c r="P68" s="94"/>
      <c r="Q68" s="95"/>
      <c r="R68" s="95"/>
      <c r="S68" s="95"/>
      <c r="T68" s="95">
        <f t="shared" si="1"/>
        <v>0</v>
      </c>
      <c r="U68" s="95"/>
      <c r="V68" s="95">
        <f t="shared" si="2"/>
        <v>0</v>
      </c>
      <c r="W68" s="95">
        <v>1.8</v>
      </c>
      <c r="X68" s="95"/>
    </row>
    <row r="69" spans="1:24" x14ac:dyDescent="0.2">
      <c r="A69" s="60"/>
      <c r="B69" s="117"/>
      <c r="C69" s="7" t="s">
        <v>72</v>
      </c>
      <c r="D69" s="13" t="s">
        <v>189</v>
      </c>
      <c r="E69" s="34">
        <f>+K69</f>
        <v>4</v>
      </c>
      <c r="F69" s="35">
        <f>+M69</f>
        <v>4</v>
      </c>
      <c r="G69" s="23">
        <v>4</v>
      </c>
      <c r="H69" s="24">
        <v>4</v>
      </c>
      <c r="I69" s="25">
        <v>4</v>
      </c>
      <c r="K69" s="100">
        <v>4</v>
      </c>
      <c r="L69" s="76">
        <f t="shared" si="6"/>
        <v>0</v>
      </c>
      <c r="M69" s="100">
        <v>4</v>
      </c>
      <c r="N69" s="76">
        <f t="shared" si="7"/>
        <v>0</v>
      </c>
      <c r="O69" s="88"/>
      <c r="P69" s="94"/>
      <c r="Q69" s="95"/>
      <c r="R69" s="95"/>
      <c r="S69" s="95"/>
      <c r="T69" s="95">
        <f t="shared" si="1"/>
        <v>0</v>
      </c>
      <c r="U69" s="95"/>
      <c r="V69" s="95">
        <f t="shared" si="2"/>
        <v>0</v>
      </c>
      <c r="W69" s="95">
        <v>0.1</v>
      </c>
      <c r="X69" s="95"/>
    </row>
    <row r="70" spans="1:24" x14ac:dyDescent="0.2">
      <c r="A70" s="20"/>
      <c r="B70" s="20"/>
      <c r="C70" s="2" t="s">
        <v>73</v>
      </c>
      <c r="D70" s="14"/>
      <c r="E70" s="48"/>
      <c r="F70" s="48"/>
      <c r="G70" s="48"/>
      <c r="H70" s="48"/>
      <c r="I70" s="48"/>
      <c r="K70" s="78"/>
      <c r="L70" s="76"/>
      <c r="M70" s="78"/>
      <c r="N70" s="76"/>
      <c r="O70" s="88"/>
      <c r="T70" s="1">
        <f t="shared" si="1"/>
        <v>0</v>
      </c>
      <c r="V70" s="1">
        <f t="shared" si="2"/>
        <v>0</v>
      </c>
    </row>
    <row r="71" spans="1:24" x14ac:dyDescent="0.2">
      <c r="A71" s="61">
        <v>50</v>
      </c>
      <c r="B71" s="118"/>
      <c r="C71" s="8" t="s">
        <v>74</v>
      </c>
      <c r="D71" s="15" t="s">
        <v>14</v>
      </c>
      <c r="E71" s="34">
        <f t="shared" ref="E71:E77" si="32">L71</f>
        <v>76</v>
      </c>
      <c r="F71" s="35">
        <f t="shared" ref="F71:F77" si="33">N71</f>
        <v>50</v>
      </c>
      <c r="G71" s="23">
        <f t="shared" si="28"/>
        <v>48.5</v>
      </c>
      <c r="H71" s="24">
        <f t="shared" si="28"/>
        <v>47.5</v>
      </c>
      <c r="I71" s="25">
        <f t="shared" si="28"/>
        <v>47</v>
      </c>
      <c r="K71" s="76">
        <v>80</v>
      </c>
      <c r="L71" s="99">
        <f t="shared" si="6"/>
        <v>76</v>
      </c>
      <c r="M71" s="76">
        <v>53</v>
      </c>
      <c r="N71" s="99">
        <f t="shared" si="7"/>
        <v>50</v>
      </c>
      <c r="O71" s="88"/>
      <c r="P71" s="97" t="s">
        <v>334</v>
      </c>
      <c r="Q71" s="96">
        <v>29.72</v>
      </c>
      <c r="R71" s="96"/>
      <c r="S71" s="95"/>
      <c r="T71" s="95">
        <f t="shared" si="1"/>
        <v>29.72</v>
      </c>
      <c r="U71" s="95">
        <v>0.1</v>
      </c>
      <c r="V71" s="95">
        <f t="shared" si="2"/>
        <v>32.692</v>
      </c>
      <c r="W71" s="95">
        <v>0.49</v>
      </c>
      <c r="X71" s="95">
        <v>0.51</v>
      </c>
    </row>
    <row r="72" spans="1:24" x14ac:dyDescent="0.2">
      <c r="A72" s="59">
        <v>51</v>
      </c>
      <c r="B72" s="116"/>
      <c r="C72" s="6" t="s">
        <v>75</v>
      </c>
      <c r="D72" s="12" t="s">
        <v>14</v>
      </c>
      <c r="E72" s="34">
        <f>+K72</f>
        <v>50</v>
      </c>
      <c r="F72" s="35">
        <f>+M72</f>
        <v>33</v>
      </c>
      <c r="G72" s="23">
        <f t="shared" si="28"/>
        <v>32.01</v>
      </c>
      <c r="H72" s="24">
        <f t="shared" si="28"/>
        <v>31.349999999999998</v>
      </c>
      <c r="I72" s="25">
        <f t="shared" si="28"/>
        <v>31.02</v>
      </c>
      <c r="K72" s="99">
        <v>50</v>
      </c>
      <c r="L72" s="76">
        <f t="shared" si="6"/>
        <v>48</v>
      </c>
      <c r="M72" s="99">
        <v>33</v>
      </c>
      <c r="N72" s="76">
        <f t="shared" si="7"/>
        <v>31</v>
      </c>
      <c r="O72" s="88"/>
      <c r="P72" s="97" t="s">
        <v>341</v>
      </c>
      <c r="Q72" s="96">
        <v>17.05</v>
      </c>
      <c r="R72" s="96"/>
      <c r="S72" s="95"/>
      <c r="T72" s="95">
        <f t="shared" si="1"/>
        <v>17.05</v>
      </c>
      <c r="U72" s="95">
        <v>0.1</v>
      </c>
      <c r="V72" s="95">
        <f t="shared" si="2"/>
        <v>18.755000000000003</v>
      </c>
      <c r="W72" s="95">
        <v>0.6</v>
      </c>
      <c r="X72" s="95">
        <v>0.54</v>
      </c>
    </row>
    <row r="73" spans="1:24" x14ac:dyDescent="0.2">
      <c r="A73" s="59">
        <v>52</v>
      </c>
      <c r="B73" s="116"/>
      <c r="C73" s="6" t="s">
        <v>76</v>
      </c>
      <c r="D73" s="12" t="s">
        <v>14</v>
      </c>
      <c r="E73" s="34">
        <f t="shared" si="32"/>
        <v>50</v>
      </c>
      <c r="F73" s="35">
        <f t="shared" si="33"/>
        <v>33</v>
      </c>
      <c r="G73" s="23">
        <f t="shared" si="28"/>
        <v>32.01</v>
      </c>
      <c r="H73" s="24">
        <f t="shared" si="28"/>
        <v>31.349999999999998</v>
      </c>
      <c r="I73" s="25">
        <f t="shared" si="28"/>
        <v>31.02</v>
      </c>
      <c r="K73" s="76">
        <v>45</v>
      </c>
      <c r="L73" s="99">
        <f t="shared" si="6"/>
        <v>50</v>
      </c>
      <c r="M73" s="76">
        <v>29</v>
      </c>
      <c r="N73" s="99">
        <f t="shared" si="7"/>
        <v>33</v>
      </c>
      <c r="O73" s="88"/>
      <c r="P73" s="103" t="s">
        <v>339</v>
      </c>
      <c r="Q73" s="96">
        <f>11.6+1</f>
        <v>12.6</v>
      </c>
      <c r="R73" s="96">
        <v>7.27</v>
      </c>
      <c r="S73" s="95"/>
      <c r="T73" s="95">
        <f t="shared" ref="T73:T136" si="34">SUM(Q73:S73)</f>
        <v>19.869999999999997</v>
      </c>
      <c r="U73" s="95">
        <v>0.1</v>
      </c>
      <c r="V73" s="95">
        <f t="shared" ref="V73:V136" si="35">+T73*(1+U73)</f>
        <v>21.856999999999999</v>
      </c>
      <c r="W73" s="95">
        <v>0.45</v>
      </c>
      <c r="X73" s="95">
        <v>0.53</v>
      </c>
    </row>
    <row r="74" spans="1:24" x14ac:dyDescent="0.2">
      <c r="A74" s="59">
        <v>53</v>
      </c>
      <c r="B74" s="116"/>
      <c r="C74" s="6" t="s">
        <v>77</v>
      </c>
      <c r="D74" s="12" t="s">
        <v>14</v>
      </c>
      <c r="E74" s="34">
        <f t="shared" si="32"/>
        <v>63</v>
      </c>
      <c r="F74" s="35">
        <f t="shared" si="33"/>
        <v>40</v>
      </c>
      <c r="G74" s="23">
        <f t="shared" si="28"/>
        <v>38.799999999999997</v>
      </c>
      <c r="H74" s="24">
        <f t="shared" si="28"/>
        <v>38</v>
      </c>
      <c r="I74" s="25">
        <f t="shared" si="28"/>
        <v>37.599999999999994</v>
      </c>
      <c r="K74" s="76">
        <v>59</v>
      </c>
      <c r="L74" s="99">
        <f t="shared" ref="L74:L137" si="36">ROUND(+V74*(1+W74)*(1+X74)*(1+$Q$1),0)</f>
        <v>63</v>
      </c>
      <c r="M74" s="76">
        <v>38</v>
      </c>
      <c r="N74" s="99">
        <f t="shared" ref="N74:N137" si="37">ROUND(+V74*(1+W74)*(1+$Q$1),0)</f>
        <v>40</v>
      </c>
      <c r="O74" s="88"/>
      <c r="P74" s="97" t="s">
        <v>313</v>
      </c>
      <c r="Q74" s="96">
        <v>19</v>
      </c>
      <c r="R74" s="96">
        <v>7.27</v>
      </c>
      <c r="S74" s="95"/>
      <c r="T74" s="95">
        <f t="shared" si="34"/>
        <v>26.27</v>
      </c>
      <c r="U74" s="95">
        <v>0.1</v>
      </c>
      <c r="V74" s="95">
        <f t="shared" si="35"/>
        <v>28.897000000000002</v>
      </c>
      <c r="W74" s="95">
        <v>0.36</v>
      </c>
      <c r="X74" s="95">
        <v>0.55000000000000004</v>
      </c>
    </row>
    <row r="75" spans="1:24" x14ac:dyDescent="0.2">
      <c r="A75" s="59">
        <v>54</v>
      </c>
      <c r="B75" s="116"/>
      <c r="C75" s="6" t="s">
        <v>78</v>
      </c>
      <c r="D75" s="12" t="s">
        <v>14</v>
      </c>
      <c r="E75" s="34">
        <f t="shared" si="32"/>
        <v>62</v>
      </c>
      <c r="F75" s="35">
        <f t="shared" si="33"/>
        <v>40</v>
      </c>
      <c r="G75" s="23">
        <f t="shared" ref="G75:I78" si="38">$F75*(1-G$1)</f>
        <v>38.799999999999997</v>
      </c>
      <c r="H75" s="24">
        <f t="shared" si="38"/>
        <v>38</v>
      </c>
      <c r="I75" s="25">
        <f t="shared" si="38"/>
        <v>37.599999999999994</v>
      </c>
      <c r="K75" s="76">
        <v>59</v>
      </c>
      <c r="L75" s="99">
        <f t="shared" si="36"/>
        <v>62</v>
      </c>
      <c r="M75" s="76">
        <v>38</v>
      </c>
      <c r="N75" s="99">
        <f t="shared" si="37"/>
        <v>40</v>
      </c>
      <c r="O75" s="88"/>
      <c r="P75" s="97" t="s">
        <v>314</v>
      </c>
      <c r="Q75" s="96">
        <v>19</v>
      </c>
      <c r="R75" s="96">
        <v>7.27</v>
      </c>
      <c r="S75" s="95"/>
      <c r="T75" s="95">
        <f t="shared" si="34"/>
        <v>26.27</v>
      </c>
      <c r="U75" s="95">
        <v>0.1</v>
      </c>
      <c r="V75" s="95">
        <f t="shared" si="35"/>
        <v>28.897000000000002</v>
      </c>
      <c r="W75" s="95">
        <v>0.34</v>
      </c>
      <c r="X75" s="95">
        <v>0.55000000000000004</v>
      </c>
    </row>
    <row r="76" spans="1:24" x14ac:dyDescent="0.2">
      <c r="A76" s="59">
        <v>55</v>
      </c>
      <c r="B76" s="116"/>
      <c r="C76" s="6" t="s">
        <v>79</v>
      </c>
      <c r="D76" s="12" t="s">
        <v>14</v>
      </c>
      <c r="E76" s="34">
        <f>+K76</f>
        <v>45</v>
      </c>
      <c r="F76" s="35">
        <f>+M76</f>
        <v>26</v>
      </c>
      <c r="G76" s="23">
        <f t="shared" si="38"/>
        <v>25.22</v>
      </c>
      <c r="H76" s="24">
        <f t="shared" si="38"/>
        <v>24.7</v>
      </c>
      <c r="I76" s="25">
        <f t="shared" si="38"/>
        <v>24.439999999999998</v>
      </c>
      <c r="K76" s="99">
        <v>45</v>
      </c>
      <c r="L76" s="76">
        <f t="shared" si="36"/>
        <v>44</v>
      </c>
      <c r="M76" s="99">
        <v>26</v>
      </c>
      <c r="N76" s="76">
        <f t="shared" si="37"/>
        <v>24</v>
      </c>
      <c r="O76" s="88"/>
      <c r="P76" s="97" t="s">
        <v>338</v>
      </c>
      <c r="Q76" s="96">
        <v>6.15</v>
      </c>
      <c r="R76" s="96">
        <v>7.27</v>
      </c>
      <c r="S76" s="95"/>
      <c r="T76" s="95">
        <f t="shared" si="34"/>
        <v>13.42</v>
      </c>
      <c r="U76" s="95">
        <v>0.1</v>
      </c>
      <c r="V76" s="95">
        <f t="shared" si="35"/>
        <v>14.762</v>
      </c>
      <c r="W76" s="95">
        <v>0.61</v>
      </c>
      <c r="X76" s="95">
        <v>0.78</v>
      </c>
    </row>
    <row r="77" spans="1:24" x14ac:dyDescent="0.2">
      <c r="A77" s="59">
        <v>56</v>
      </c>
      <c r="B77" s="116"/>
      <c r="C77" s="6" t="s">
        <v>80</v>
      </c>
      <c r="D77" s="12" t="s">
        <v>14</v>
      </c>
      <c r="E77" s="34">
        <f t="shared" si="32"/>
        <v>51</v>
      </c>
      <c r="F77" s="35">
        <f t="shared" si="33"/>
        <v>31</v>
      </c>
      <c r="G77" s="23">
        <f t="shared" si="38"/>
        <v>30.07</v>
      </c>
      <c r="H77" s="24">
        <f t="shared" si="38"/>
        <v>29.45</v>
      </c>
      <c r="I77" s="25">
        <f t="shared" si="38"/>
        <v>29.139999999999997</v>
      </c>
      <c r="K77" s="76">
        <v>49</v>
      </c>
      <c r="L77" s="99">
        <f t="shared" si="36"/>
        <v>51</v>
      </c>
      <c r="M77" s="76">
        <v>30</v>
      </c>
      <c r="N77" s="99">
        <f t="shared" si="37"/>
        <v>31</v>
      </c>
      <c r="O77" s="88"/>
      <c r="P77" s="97" t="s">
        <v>315</v>
      </c>
      <c r="Q77" s="96">
        <v>12.55</v>
      </c>
      <c r="R77" s="96">
        <v>7.27</v>
      </c>
      <c r="S77" s="95"/>
      <c r="T77" s="95">
        <f t="shared" si="34"/>
        <v>19.82</v>
      </c>
      <c r="U77" s="95">
        <v>0.1</v>
      </c>
      <c r="V77" s="95">
        <f t="shared" si="35"/>
        <v>21.802000000000003</v>
      </c>
      <c r="W77" s="95">
        <v>0.36499999999999999</v>
      </c>
      <c r="X77" s="95">
        <v>0.67</v>
      </c>
    </row>
    <row r="78" spans="1:24" x14ac:dyDescent="0.2">
      <c r="A78" s="60"/>
      <c r="B78" s="117"/>
      <c r="C78" s="7" t="s">
        <v>81</v>
      </c>
      <c r="D78" s="13" t="s">
        <v>14</v>
      </c>
      <c r="E78" s="34">
        <f>+K78</f>
        <v>80</v>
      </c>
      <c r="F78" s="35">
        <f>+M78</f>
        <v>54</v>
      </c>
      <c r="G78" s="23">
        <f t="shared" si="38"/>
        <v>52.379999999999995</v>
      </c>
      <c r="H78" s="24">
        <f t="shared" si="38"/>
        <v>51.3</v>
      </c>
      <c r="I78" s="25">
        <f t="shared" si="38"/>
        <v>50.76</v>
      </c>
      <c r="K78" s="100">
        <v>80</v>
      </c>
      <c r="L78" s="76">
        <f t="shared" si="36"/>
        <v>78</v>
      </c>
      <c r="M78" s="100">
        <v>54</v>
      </c>
      <c r="N78" s="76">
        <f t="shared" si="37"/>
        <v>49</v>
      </c>
      <c r="O78" s="88"/>
      <c r="P78" s="97" t="s">
        <v>340</v>
      </c>
      <c r="Q78" s="96">
        <v>30.75</v>
      </c>
      <c r="R78" s="96"/>
      <c r="S78" s="95"/>
      <c r="T78" s="95">
        <f t="shared" si="34"/>
        <v>30.75</v>
      </c>
      <c r="U78" s="95">
        <v>0.1</v>
      </c>
      <c r="V78" s="95">
        <f t="shared" si="35"/>
        <v>33.825000000000003</v>
      </c>
      <c r="W78" s="95">
        <v>0.4</v>
      </c>
      <c r="X78" s="95">
        <v>0.6</v>
      </c>
    </row>
    <row r="79" spans="1:24" x14ac:dyDescent="0.2">
      <c r="A79" s="20"/>
      <c r="B79" s="20"/>
      <c r="C79" s="2" t="s">
        <v>82</v>
      </c>
      <c r="D79" s="14"/>
      <c r="E79" s="48"/>
      <c r="F79" s="48"/>
      <c r="G79" s="48"/>
      <c r="H79" s="48"/>
      <c r="I79" s="48"/>
      <c r="K79" s="78"/>
      <c r="L79" s="76"/>
      <c r="M79" s="78"/>
      <c r="N79" s="76"/>
      <c r="O79" s="88"/>
      <c r="T79" s="1">
        <f t="shared" si="34"/>
        <v>0</v>
      </c>
      <c r="V79" s="1">
        <f t="shared" si="35"/>
        <v>0</v>
      </c>
    </row>
    <row r="80" spans="1:24" x14ac:dyDescent="0.2">
      <c r="A80" s="61">
        <v>57</v>
      </c>
      <c r="B80" s="129" t="s">
        <v>210</v>
      </c>
      <c r="C80" s="8" t="s">
        <v>83</v>
      </c>
      <c r="D80" s="15" t="s">
        <v>14</v>
      </c>
      <c r="E80" s="34">
        <f>+K80</f>
        <v>316</v>
      </c>
      <c r="F80" s="35">
        <f>+M80</f>
        <v>211</v>
      </c>
      <c r="G80" s="23">
        <f t="shared" ref="G80:I95" si="39">$F80*(1-G$1)</f>
        <v>204.67</v>
      </c>
      <c r="H80" s="24">
        <f t="shared" si="39"/>
        <v>200.45</v>
      </c>
      <c r="I80" s="25">
        <f t="shared" si="39"/>
        <v>198.33999999999997</v>
      </c>
      <c r="K80" s="101">
        <v>316</v>
      </c>
      <c r="L80" s="76">
        <f t="shared" si="36"/>
        <v>240</v>
      </c>
      <c r="M80" s="101">
        <v>211</v>
      </c>
      <c r="N80" s="76">
        <f t="shared" si="37"/>
        <v>160</v>
      </c>
      <c r="O80" s="88"/>
      <c r="P80" s="94" t="s">
        <v>331</v>
      </c>
      <c r="Q80" s="98"/>
      <c r="R80" s="95">
        <v>77.5</v>
      </c>
      <c r="S80" s="95">
        <f>+R80*0.5</f>
        <v>38.75</v>
      </c>
      <c r="T80" s="95">
        <f t="shared" si="34"/>
        <v>116.25</v>
      </c>
      <c r="U80" s="95">
        <v>0.05</v>
      </c>
      <c r="V80" s="95">
        <f t="shared" si="35"/>
        <v>122.0625</v>
      </c>
      <c r="W80" s="95">
        <v>0.27500000000000002</v>
      </c>
      <c r="X80" s="95">
        <v>0.5</v>
      </c>
    </row>
    <row r="81" spans="1:27" x14ac:dyDescent="0.2">
      <c r="A81" s="59">
        <v>58</v>
      </c>
      <c r="B81" s="116"/>
      <c r="C81" s="6" t="s">
        <v>84</v>
      </c>
      <c r="D81" s="12" t="s">
        <v>14</v>
      </c>
      <c r="E81" s="34">
        <f t="shared" ref="E81:E82" si="40">+K81</f>
        <v>97</v>
      </c>
      <c r="F81" s="35">
        <f t="shared" ref="F81:F82" si="41">+M81</f>
        <v>69</v>
      </c>
      <c r="G81" s="23">
        <f t="shared" si="39"/>
        <v>66.929999999999993</v>
      </c>
      <c r="H81" s="24">
        <f t="shared" si="39"/>
        <v>65.55</v>
      </c>
      <c r="I81" s="25">
        <f t="shared" si="39"/>
        <v>64.86</v>
      </c>
      <c r="K81" s="99">
        <v>97</v>
      </c>
      <c r="L81" s="76">
        <f t="shared" si="36"/>
        <v>88</v>
      </c>
      <c r="M81" s="99">
        <v>69</v>
      </c>
      <c r="N81" s="76">
        <f t="shared" si="37"/>
        <v>63</v>
      </c>
      <c r="O81" s="88"/>
      <c r="P81" s="97" t="s">
        <v>318</v>
      </c>
      <c r="Q81" s="96">
        <v>38.1</v>
      </c>
      <c r="R81" s="96"/>
      <c r="S81" s="95"/>
      <c r="T81" s="95">
        <f t="shared" si="34"/>
        <v>38.1</v>
      </c>
      <c r="U81" s="95">
        <v>0.05</v>
      </c>
      <c r="V81" s="95">
        <f t="shared" si="35"/>
        <v>40.005000000000003</v>
      </c>
      <c r="W81" s="95">
        <v>0.52</v>
      </c>
      <c r="X81" s="95">
        <v>0.4</v>
      </c>
    </row>
    <row r="82" spans="1:27" x14ac:dyDescent="0.2">
      <c r="A82" s="59">
        <v>59</v>
      </c>
      <c r="B82" s="116"/>
      <c r="C82" s="6" t="s">
        <v>85</v>
      </c>
      <c r="D82" s="12" t="s">
        <v>14</v>
      </c>
      <c r="E82" s="34">
        <f t="shared" si="40"/>
        <v>121</v>
      </c>
      <c r="F82" s="35">
        <f t="shared" si="41"/>
        <v>88</v>
      </c>
      <c r="G82" s="23">
        <f t="shared" si="39"/>
        <v>85.36</v>
      </c>
      <c r="H82" s="24">
        <f t="shared" si="39"/>
        <v>83.6</v>
      </c>
      <c r="I82" s="25">
        <f t="shared" si="39"/>
        <v>82.72</v>
      </c>
      <c r="K82" s="99">
        <v>121</v>
      </c>
      <c r="L82" s="76">
        <f t="shared" si="36"/>
        <v>113</v>
      </c>
      <c r="M82" s="99">
        <v>88</v>
      </c>
      <c r="N82" s="76">
        <f t="shared" si="37"/>
        <v>83</v>
      </c>
      <c r="O82" s="88"/>
      <c r="P82" s="97" t="s">
        <v>282</v>
      </c>
      <c r="Q82" s="96">
        <v>47.8</v>
      </c>
      <c r="R82" s="96"/>
      <c r="S82" s="95"/>
      <c r="T82" s="95">
        <f t="shared" si="34"/>
        <v>47.8</v>
      </c>
      <c r="U82" s="95">
        <v>0.05</v>
      </c>
      <c r="V82" s="95">
        <f t="shared" si="35"/>
        <v>50.19</v>
      </c>
      <c r="W82" s="95">
        <v>0.6</v>
      </c>
      <c r="X82" s="95">
        <v>0.37</v>
      </c>
    </row>
    <row r="83" spans="1:27" x14ac:dyDescent="0.2">
      <c r="A83" s="59">
        <v>60</v>
      </c>
      <c r="B83" s="116"/>
      <c r="C83" s="6" t="s">
        <v>86</v>
      </c>
      <c r="D83" s="12" t="s">
        <v>14</v>
      </c>
      <c r="E83" s="34">
        <f t="shared" ref="E83:E89" si="42">L83</f>
        <v>143</v>
      </c>
      <c r="F83" s="35">
        <f t="shared" ref="F83:F89" si="43">N83</f>
        <v>106</v>
      </c>
      <c r="G83" s="23">
        <f t="shared" si="39"/>
        <v>102.82</v>
      </c>
      <c r="H83" s="24">
        <f t="shared" si="39"/>
        <v>100.69999999999999</v>
      </c>
      <c r="I83" s="25">
        <f t="shared" si="39"/>
        <v>99.64</v>
      </c>
      <c r="K83" s="76">
        <v>148</v>
      </c>
      <c r="L83" s="99">
        <f t="shared" si="36"/>
        <v>143</v>
      </c>
      <c r="M83" s="76">
        <v>118</v>
      </c>
      <c r="N83" s="99">
        <f t="shared" si="37"/>
        <v>106</v>
      </c>
      <c r="O83" s="88"/>
      <c r="P83" s="103" t="s">
        <v>317</v>
      </c>
      <c r="Q83" s="96">
        <v>35</v>
      </c>
      <c r="R83" s="96"/>
      <c r="S83" s="95"/>
      <c r="T83" s="95">
        <f t="shared" si="34"/>
        <v>35</v>
      </c>
      <c r="U83" s="95">
        <v>0.05</v>
      </c>
      <c r="V83" s="95">
        <f t="shared" si="35"/>
        <v>36.75</v>
      </c>
      <c r="W83" s="95">
        <v>1.8</v>
      </c>
      <c r="X83" s="95">
        <v>0.35</v>
      </c>
    </row>
    <row r="84" spans="1:27" x14ac:dyDescent="0.2">
      <c r="A84" s="59">
        <v>61</v>
      </c>
      <c r="B84" s="116"/>
      <c r="C84" s="6" t="s">
        <v>87</v>
      </c>
      <c r="D84" s="12" t="s">
        <v>14</v>
      </c>
      <c r="E84" s="34">
        <f>+K84</f>
        <v>289</v>
      </c>
      <c r="F84" s="35">
        <f>+M84</f>
        <v>206</v>
      </c>
      <c r="G84" s="23">
        <f t="shared" si="39"/>
        <v>199.82</v>
      </c>
      <c r="H84" s="24">
        <f t="shared" si="39"/>
        <v>195.7</v>
      </c>
      <c r="I84" s="25">
        <f t="shared" si="39"/>
        <v>193.64</v>
      </c>
      <c r="K84" s="162">
        <v>289</v>
      </c>
      <c r="L84" s="76">
        <f t="shared" si="36"/>
        <v>275</v>
      </c>
      <c r="M84" s="162">
        <v>206</v>
      </c>
      <c r="N84" s="76">
        <f t="shared" si="37"/>
        <v>196</v>
      </c>
      <c r="O84" s="88"/>
      <c r="P84" s="97" t="s">
        <v>277</v>
      </c>
      <c r="Q84" s="96">
        <v>110</v>
      </c>
      <c r="R84" s="96"/>
      <c r="S84" s="95"/>
      <c r="T84" s="95">
        <f t="shared" si="34"/>
        <v>110</v>
      </c>
      <c r="U84" s="95">
        <v>0.05</v>
      </c>
      <c r="V84" s="95">
        <f t="shared" si="35"/>
        <v>115.5</v>
      </c>
      <c r="W84" s="95">
        <v>0.65</v>
      </c>
      <c r="X84" s="95">
        <v>0.4</v>
      </c>
      <c r="Z84" s="164">
        <f>+E84/2000</f>
        <v>0.14449999999999999</v>
      </c>
      <c r="AA84" s="164">
        <f>+F84/2000</f>
        <v>0.10299999999999999</v>
      </c>
    </row>
    <row r="85" spans="1:27" x14ac:dyDescent="0.2">
      <c r="A85" s="59">
        <v>62</v>
      </c>
      <c r="B85" s="116"/>
      <c r="C85" s="6" t="s">
        <v>89</v>
      </c>
      <c r="D85" s="12" t="s">
        <v>14</v>
      </c>
      <c r="E85" s="34">
        <f t="shared" si="42"/>
        <v>173</v>
      </c>
      <c r="F85" s="35">
        <f t="shared" si="43"/>
        <v>115</v>
      </c>
      <c r="G85" s="23">
        <f t="shared" si="39"/>
        <v>111.55</v>
      </c>
      <c r="H85" s="24">
        <f t="shared" si="39"/>
        <v>109.25</v>
      </c>
      <c r="I85" s="25">
        <f t="shared" si="39"/>
        <v>108.1</v>
      </c>
      <c r="K85" s="76">
        <v>157</v>
      </c>
      <c r="L85" s="99">
        <f t="shared" si="36"/>
        <v>173</v>
      </c>
      <c r="M85" s="76">
        <v>105</v>
      </c>
      <c r="N85" s="99">
        <f t="shared" si="37"/>
        <v>115</v>
      </c>
      <c r="O85" s="88"/>
      <c r="P85" s="97" t="s">
        <v>288</v>
      </c>
      <c r="Q85" s="96">
        <v>64</v>
      </c>
      <c r="R85" s="96"/>
      <c r="S85" s="95"/>
      <c r="T85" s="95">
        <f t="shared" si="34"/>
        <v>64</v>
      </c>
      <c r="U85" s="95">
        <v>0.05</v>
      </c>
      <c r="V85" s="95">
        <f t="shared" si="35"/>
        <v>67.2</v>
      </c>
      <c r="W85" s="95">
        <v>0.66500000000000004</v>
      </c>
      <c r="X85" s="95">
        <v>0.5</v>
      </c>
    </row>
    <row r="86" spans="1:27" x14ac:dyDescent="0.2">
      <c r="A86" s="59">
        <v>63</v>
      </c>
      <c r="B86" s="116"/>
      <c r="C86" s="6" t="s">
        <v>91</v>
      </c>
      <c r="D86" s="12" t="s">
        <v>14</v>
      </c>
      <c r="E86" s="34">
        <f t="shared" si="42"/>
        <v>229</v>
      </c>
      <c r="F86" s="35">
        <f t="shared" si="43"/>
        <v>164</v>
      </c>
      <c r="G86" s="23">
        <f t="shared" si="39"/>
        <v>159.07999999999998</v>
      </c>
      <c r="H86" s="24">
        <f t="shared" si="39"/>
        <v>155.79999999999998</v>
      </c>
      <c r="I86" s="25">
        <f t="shared" si="39"/>
        <v>154.16</v>
      </c>
      <c r="K86" s="99">
        <v>229</v>
      </c>
      <c r="L86" s="76">
        <f t="shared" si="36"/>
        <v>229</v>
      </c>
      <c r="M86" s="99">
        <v>164</v>
      </c>
      <c r="N86" s="76">
        <f t="shared" si="37"/>
        <v>164</v>
      </c>
      <c r="O86" s="88"/>
      <c r="P86" s="97" t="s">
        <v>316</v>
      </c>
      <c r="Q86" s="96">
        <v>30.5</v>
      </c>
      <c r="R86" s="96">
        <v>45</v>
      </c>
      <c r="S86" s="95">
        <f>+R86*0.5</f>
        <v>22.5</v>
      </c>
      <c r="T86" s="95">
        <f t="shared" si="34"/>
        <v>98</v>
      </c>
      <c r="U86" s="95">
        <v>0.05</v>
      </c>
      <c r="V86" s="95">
        <f t="shared" si="35"/>
        <v>102.9</v>
      </c>
      <c r="W86" s="95">
        <v>0.54500000000000004</v>
      </c>
      <c r="X86" s="95">
        <v>0.4</v>
      </c>
    </row>
    <row r="87" spans="1:27" x14ac:dyDescent="0.2">
      <c r="A87" s="59">
        <v>64</v>
      </c>
      <c r="B87" s="116"/>
      <c r="C87" s="6" t="s">
        <v>90</v>
      </c>
      <c r="D87" s="12" t="s">
        <v>14</v>
      </c>
      <c r="E87" s="34">
        <f t="shared" si="42"/>
        <v>177</v>
      </c>
      <c r="F87" s="35">
        <f t="shared" si="43"/>
        <v>127</v>
      </c>
      <c r="G87" s="23">
        <f t="shared" si="39"/>
        <v>123.19</v>
      </c>
      <c r="H87" s="24">
        <f t="shared" si="39"/>
        <v>120.64999999999999</v>
      </c>
      <c r="I87" s="25">
        <f t="shared" si="39"/>
        <v>119.38</v>
      </c>
      <c r="K87" s="99">
        <v>177</v>
      </c>
      <c r="L87" s="76">
        <f t="shared" si="36"/>
        <v>177</v>
      </c>
      <c r="M87" s="99">
        <v>127</v>
      </c>
      <c r="N87" s="76">
        <f t="shared" si="37"/>
        <v>127</v>
      </c>
      <c r="O87" s="88"/>
      <c r="P87" s="97" t="s">
        <v>316</v>
      </c>
      <c r="Q87" s="96">
        <v>17.5</v>
      </c>
      <c r="R87" s="96">
        <v>45</v>
      </c>
      <c r="S87" s="95">
        <f>+R87*0.5</f>
        <v>22.5</v>
      </c>
      <c r="T87" s="95">
        <f t="shared" si="34"/>
        <v>85</v>
      </c>
      <c r="U87" s="95">
        <v>0.05</v>
      </c>
      <c r="V87" s="95">
        <f t="shared" si="35"/>
        <v>89.25</v>
      </c>
      <c r="W87" s="95">
        <v>0.378</v>
      </c>
      <c r="X87" s="95">
        <v>0.4</v>
      </c>
    </row>
    <row r="88" spans="1:27" x14ac:dyDescent="0.2">
      <c r="A88" s="59">
        <v>65</v>
      </c>
      <c r="B88" s="150"/>
      <c r="C88" s="6" t="s">
        <v>88</v>
      </c>
      <c r="D88" s="12" t="s">
        <v>14</v>
      </c>
      <c r="E88" s="34">
        <f>+L88</f>
        <v>214</v>
      </c>
      <c r="F88" s="35">
        <f>+N88</f>
        <v>142</v>
      </c>
      <c r="G88" s="23">
        <f t="shared" si="39"/>
        <v>137.74</v>
      </c>
      <c r="H88" s="24">
        <f t="shared" si="39"/>
        <v>134.9</v>
      </c>
      <c r="I88" s="25">
        <f t="shared" si="39"/>
        <v>133.47999999999999</v>
      </c>
      <c r="K88" s="76">
        <v>226</v>
      </c>
      <c r="L88" s="99">
        <f t="shared" si="36"/>
        <v>214</v>
      </c>
      <c r="M88" s="76">
        <v>151</v>
      </c>
      <c r="N88" s="99">
        <f t="shared" si="37"/>
        <v>142</v>
      </c>
      <c r="O88" s="88"/>
      <c r="P88" s="97" t="s">
        <v>290</v>
      </c>
      <c r="Q88" s="96">
        <v>89.75</v>
      </c>
      <c r="R88" s="95"/>
      <c r="S88" s="95"/>
      <c r="T88" s="95">
        <f t="shared" si="34"/>
        <v>89.75</v>
      </c>
      <c r="U88" s="95">
        <v>0.1</v>
      </c>
      <c r="V88" s="95">
        <f t="shared" si="35"/>
        <v>98.725000000000009</v>
      </c>
      <c r="W88" s="95">
        <v>0.4</v>
      </c>
      <c r="X88" s="95">
        <v>0.5</v>
      </c>
    </row>
    <row r="89" spans="1:27" x14ac:dyDescent="0.2">
      <c r="A89" s="59">
        <v>66</v>
      </c>
      <c r="B89" s="116"/>
      <c r="C89" s="6" t="s">
        <v>92</v>
      </c>
      <c r="D89" s="12" t="s">
        <v>14</v>
      </c>
      <c r="E89" s="34">
        <f t="shared" si="42"/>
        <v>223</v>
      </c>
      <c r="F89" s="35">
        <f t="shared" si="43"/>
        <v>149</v>
      </c>
      <c r="G89" s="23">
        <f t="shared" si="39"/>
        <v>144.53</v>
      </c>
      <c r="H89" s="24">
        <f t="shared" si="39"/>
        <v>141.54999999999998</v>
      </c>
      <c r="I89" s="25">
        <f t="shared" si="39"/>
        <v>140.06</v>
      </c>
      <c r="K89" s="76">
        <v>211</v>
      </c>
      <c r="L89" s="99">
        <f t="shared" si="36"/>
        <v>223</v>
      </c>
      <c r="M89" s="76">
        <v>141</v>
      </c>
      <c r="N89" s="99">
        <f t="shared" si="37"/>
        <v>149</v>
      </c>
      <c r="O89" s="88"/>
      <c r="P89" s="97" t="s">
        <v>350</v>
      </c>
      <c r="Q89" s="96">
        <v>33.6</v>
      </c>
      <c r="R89" s="96">
        <v>33.5</v>
      </c>
      <c r="S89" s="95">
        <f t="shared" ref="S89:S95" si="44">+R89*0.5</f>
        <v>16.75</v>
      </c>
      <c r="T89" s="95">
        <f t="shared" si="34"/>
        <v>83.85</v>
      </c>
      <c r="U89" s="95">
        <v>0.05</v>
      </c>
      <c r="V89" s="95">
        <f t="shared" si="35"/>
        <v>88.042500000000004</v>
      </c>
      <c r="W89" s="95">
        <v>0.64</v>
      </c>
      <c r="X89" s="95">
        <v>0.5</v>
      </c>
    </row>
    <row r="90" spans="1:27" x14ac:dyDescent="0.2">
      <c r="A90" s="59">
        <v>67</v>
      </c>
      <c r="B90" s="116"/>
      <c r="C90" s="6" t="s">
        <v>93</v>
      </c>
      <c r="D90" s="12" t="s">
        <v>14</v>
      </c>
      <c r="E90" s="34">
        <f>+K90</f>
        <v>271</v>
      </c>
      <c r="F90" s="35">
        <f>+M90</f>
        <v>181</v>
      </c>
      <c r="G90" s="23">
        <f t="shared" si="39"/>
        <v>175.57</v>
      </c>
      <c r="H90" s="24">
        <f t="shared" si="39"/>
        <v>171.95</v>
      </c>
      <c r="I90" s="25">
        <f t="shared" si="39"/>
        <v>170.14</v>
      </c>
      <c r="K90" s="99">
        <v>271</v>
      </c>
      <c r="L90" s="76">
        <f t="shared" si="36"/>
        <v>237</v>
      </c>
      <c r="M90" s="99">
        <v>181</v>
      </c>
      <c r="N90" s="76">
        <f t="shared" si="37"/>
        <v>158</v>
      </c>
      <c r="O90" s="88"/>
      <c r="P90" s="97" t="s">
        <v>351</v>
      </c>
      <c r="Q90" s="96">
        <v>52.25</v>
      </c>
      <c r="R90" s="96">
        <v>33.5</v>
      </c>
      <c r="S90" s="95">
        <f t="shared" si="44"/>
        <v>16.75</v>
      </c>
      <c r="T90" s="95">
        <f t="shared" si="34"/>
        <v>102.5</v>
      </c>
      <c r="U90" s="95">
        <v>0.05</v>
      </c>
      <c r="V90" s="95">
        <f t="shared" si="35"/>
        <v>107.625</v>
      </c>
      <c r="W90" s="95">
        <v>0.42499999999999999</v>
      </c>
      <c r="X90" s="95">
        <v>0.5</v>
      </c>
    </row>
    <row r="91" spans="1:27" x14ac:dyDescent="0.2">
      <c r="A91" s="59">
        <v>68</v>
      </c>
      <c r="B91" s="116"/>
      <c r="C91" s="6" t="s">
        <v>94</v>
      </c>
      <c r="D91" s="12" t="s">
        <v>14</v>
      </c>
      <c r="E91" s="34">
        <f t="shared" ref="E91:E92" si="45">+K91</f>
        <v>262</v>
      </c>
      <c r="F91" s="35">
        <f t="shared" ref="F91:F92" si="46">+M91</f>
        <v>181</v>
      </c>
      <c r="G91" s="23">
        <f t="shared" si="39"/>
        <v>175.57</v>
      </c>
      <c r="H91" s="24">
        <f t="shared" si="39"/>
        <v>171.95</v>
      </c>
      <c r="I91" s="25">
        <f t="shared" si="39"/>
        <v>170.14</v>
      </c>
      <c r="K91" s="99">
        <v>262</v>
      </c>
      <c r="L91" s="76">
        <f t="shared" si="36"/>
        <v>261</v>
      </c>
      <c r="M91" s="99">
        <v>181</v>
      </c>
      <c r="N91" s="76">
        <f t="shared" si="37"/>
        <v>180</v>
      </c>
      <c r="O91" s="88"/>
      <c r="P91" s="97" t="s">
        <v>330</v>
      </c>
      <c r="Q91" s="96">
        <v>40.700000000000003</v>
      </c>
      <c r="R91" s="96">
        <v>42</v>
      </c>
      <c r="S91" s="95">
        <f t="shared" si="44"/>
        <v>21</v>
      </c>
      <c r="T91" s="95">
        <f t="shared" si="34"/>
        <v>103.7</v>
      </c>
      <c r="U91" s="95">
        <v>0.05</v>
      </c>
      <c r="V91" s="95">
        <f t="shared" si="35"/>
        <v>108.88500000000001</v>
      </c>
      <c r="W91" s="95">
        <v>0.60499999999999998</v>
      </c>
      <c r="X91" s="95">
        <v>0.45</v>
      </c>
    </row>
    <row r="92" spans="1:27" x14ac:dyDescent="0.2">
      <c r="A92" s="59">
        <v>69</v>
      </c>
      <c r="B92" s="116"/>
      <c r="C92" s="6" t="s">
        <v>228</v>
      </c>
      <c r="D92" s="12" t="s">
        <v>14</v>
      </c>
      <c r="E92" s="34">
        <f t="shared" si="45"/>
        <v>262</v>
      </c>
      <c r="F92" s="35">
        <f t="shared" si="46"/>
        <v>181</v>
      </c>
      <c r="G92" s="23">
        <f t="shared" si="39"/>
        <v>175.57</v>
      </c>
      <c r="H92" s="24">
        <f t="shared" si="39"/>
        <v>171.95</v>
      </c>
      <c r="I92" s="25">
        <f t="shared" si="39"/>
        <v>170.14</v>
      </c>
      <c r="K92" s="99">
        <v>262</v>
      </c>
      <c r="L92" s="76">
        <f t="shared" si="36"/>
        <v>261</v>
      </c>
      <c r="M92" s="99">
        <v>181</v>
      </c>
      <c r="N92" s="76">
        <f t="shared" si="37"/>
        <v>180</v>
      </c>
      <c r="O92" s="88"/>
      <c r="P92" s="97" t="s">
        <v>330</v>
      </c>
      <c r="Q92" s="96">
        <v>40.700000000000003</v>
      </c>
      <c r="R92" s="96">
        <v>42</v>
      </c>
      <c r="S92" s="95">
        <f t="shared" si="44"/>
        <v>21</v>
      </c>
      <c r="T92" s="95">
        <f t="shared" si="34"/>
        <v>103.7</v>
      </c>
      <c r="U92" s="95">
        <v>0.05</v>
      </c>
      <c r="V92" s="95">
        <f t="shared" si="35"/>
        <v>108.88500000000001</v>
      </c>
      <c r="W92" s="95">
        <v>0.60499999999999998</v>
      </c>
      <c r="X92" s="95">
        <v>0.45</v>
      </c>
    </row>
    <row r="93" spans="1:27" x14ac:dyDescent="0.2">
      <c r="A93" s="59">
        <v>70</v>
      </c>
      <c r="B93" s="127"/>
      <c r="C93" s="6" t="s">
        <v>95</v>
      </c>
      <c r="D93" s="12" t="s">
        <v>14</v>
      </c>
      <c r="E93" s="34">
        <f t="shared" ref="E93:E95" si="47">L93</f>
        <v>277</v>
      </c>
      <c r="F93" s="35">
        <f t="shared" ref="F93:F95" si="48">N93</f>
        <v>187</v>
      </c>
      <c r="G93" s="23">
        <f t="shared" si="39"/>
        <v>181.39</v>
      </c>
      <c r="H93" s="24">
        <f t="shared" si="39"/>
        <v>177.65</v>
      </c>
      <c r="I93" s="25">
        <f t="shared" si="39"/>
        <v>175.78</v>
      </c>
      <c r="K93" s="76">
        <v>268</v>
      </c>
      <c r="L93" s="99">
        <f t="shared" si="36"/>
        <v>277</v>
      </c>
      <c r="M93" s="76">
        <v>181</v>
      </c>
      <c r="N93" s="99">
        <f t="shared" si="37"/>
        <v>187</v>
      </c>
      <c r="O93" s="88"/>
      <c r="P93" s="97" t="s">
        <v>328</v>
      </c>
      <c r="Q93" s="96">
        <f>26.5+1</f>
        <v>27.5</v>
      </c>
      <c r="R93" s="96">
        <v>71.5</v>
      </c>
      <c r="S93" s="95">
        <f t="shared" si="44"/>
        <v>35.75</v>
      </c>
      <c r="T93" s="95">
        <f t="shared" si="34"/>
        <v>134.75</v>
      </c>
      <c r="U93" s="95">
        <v>0.05</v>
      </c>
      <c r="V93" s="95">
        <f t="shared" si="35"/>
        <v>141.48750000000001</v>
      </c>
      <c r="W93" s="95">
        <v>0.28499999999999998</v>
      </c>
      <c r="X93" s="95">
        <v>0.48</v>
      </c>
    </row>
    <row r="94" spans="1:27" x14ac:dyDescent="0.2">
      <c r="A94" s="59">
        <v>71</v>
      </c>
      <c r="B94" s="127"/>
      <c r="C94" s="6" t="s">
        <v>96</v>
      </c>
      <c r="D94" s="12" t="s">
        <v>14</v>
      </c>
      <c r="E94" s="34">
        <f t="shared" si="47"/>
        <v>286</v>
      </c>
      <c r="F94" s="35">
        <f t="shared" si="48"/>
        <v>191</v>
      </c>
      <c r="G94" s="23">
        <f t="shared" si="39"/>
        <v>185.26999999999998</v>
      </c>
      <c r="H94" s="24">
        <f t="shared" si="39"/>
        <v>181.45</v>
      </c>
      <c r="I94" s="25">
        <f t="shared" si="39"/>
        <v>179.54</v>
      </c>
      <c r="K94" s="76">
        <v>277</v>
      </c>
      <c r="L94" s="99">
        <f t="shared" si="36"/>
        <v>286</v>
      </c>
      <c r="M94" s="76">
        <v>185</v>
      </c>
      <c r="N94" s="99">
        <f t="shared" si="37"/>
        <v>191</v>
      </c>
      <c r="O94" s="88"/>
      <c r="P94" s="97" t="s">
        <v>328</v>
      </c>
      <c r="Q94" s="96">
        <f>29+1</f>
        <v>30</v>
      </c>
      <c r="R94" s="96">
        <v>71.5</v>
      </c>
      <c r="S94" s="95">
        <f t="shared" si="44"/>
        <v>35.75</v>
      </c>
      <c r="T94" s="95">
        <f t="shared" si="34"/>
        <v>137.25</v>
      </c>
      <c r="U94" s="95">
        <v>0.05</v>
      </c>
      <c r="V94" s="95">
        <f t="shared" si="35"/>
        <v>144.11250000000001</v>
      </c>
      <c r="W94" s="95">
        <v>0.28499999999999998</v>
      </c>
      <c r="X94" s="95">
        <v>0.5</v>
      </c>
    </row>
    <row r="95" spans="1:27" x14ac:dyDescent="0.2">
      <c r="A95" s="60">
        <v>72</v>
      </c>
      <c r="B95" s="127"/>
      <c r="C95" s="7" t="s">
        <v>97</v>
      </c>
      <c r="D95" s="13" t="s">
        <v>14</v>
      </c>
      <c r="E95" s="34">
        <f t="shared" si="47"/>
        <v>294</v>
      </c>
      <c r="F95" s="35">
        <f t="shared" si="48"/>
        <v>196</v>
      </c>
      <c r="G95" s="23">
        <f t="shared" si="39"/>
        <v>190.12</v>
      </c>
      <c r="H95" s="24">
        <f t="shared" si="39"/>
        <v>186.2</v>
      </c>
      <c r="I95" s="25">
        <f t="shared" si="39"/>
        <v>184.23999999999998</v>
      </c>
      <c r="K95" s="76">
        <v>284</v>
      </c>
      <c r="L95" s="99">
        <f t="shared" si="36"/>
        <v>294</v>
      </c>
      <c r="M95" s="76">
        <v>190</v>
      </c>
      <c r="N95" s="99">
        <f t="shared" si="37"/>
        <v>196</v>
      </c>
      <c r="O95" s="88"/>
      <c r="P95" s="103" t="s">
        <v>329</v>
      </c>
      <c r="Q95" s="96">
        <f>32.5+1</f>
        <v>33.5</v>
      </c>
      <c r="R95" s="96">
        <v>71.5</v>
      </c>
      <c r="S95" s="95">
        <f t="shared" si="44"/>
        <v>35.75</v>
      </c>
      <c r="T95" s="95">
        <f t="shared" si="34"/>
        <v>140.75</v>
      </c>
      <c r="U95" s="95">
        <v>0.05</v>
      </c>
      <c r="V95" s="95">
        <f t="shared" si="35"/>
        <v>147.78749999999999</v>
      </c>
      <c r="W95" s="95">
        <v>0.28699999999999998</v>
      </c>
      <c r="X95" s="95">
        <v>0.5</v>
      </c>
    </row>
    <row r="96" spans="1:27" x14ac:dyDescent="0.2">
      <c r="A96" s="20"/>
      <c r="B96" s="20"/>
      <c r="C96" s="2" t="s">
        <v>227</v>
      </c>
      <c r="D96" s="14"/>
      <c r="E96" s="48"/>
      <c r="F96" s="48"/>
      <c r="G96" s="48"/>
      <c r="H96" s="48"/>
      <c r="I96" s="48"/>
      <c r="K96" s="78"/>
      <c r="L96" s="76"/>
      <c r="M96" s="78"/>
      <c r="N96" s="76"/>
      <c r="O96" s="88"/>
      <c r="T96" s="1">
        <f t="shared" si="34"/>
        <v>0</v>
      </c>
      <c r="V96" s="1">
        <f t="shared" si="35"/>
        <v>0</v>
      </c>
    </row>
    <row r="97" spans="1:24" x14ac:dyDescent="0.2">
      <c r="A97" s="61">
        <v>100</v>
      </c>
      <c r="B97" s="118"/>
      <c r="C97" s="8" t="s">
        <v>98</v>
      </c>
      <c r="D97" s="15" t="s">
        <v>188</v>
      </c>
      <c r="E97" s="34">
        <f>L97</f>
        <v>36.78</v>
      </c>
      <c r="F97" s="35">
        <f>N97</f>
        <v>30.65</v>
      </c>
      <c r="G97" s="23">
        <f t="shared" ref="G97:I104" si="49">$F97*(1-G$1)</f>
        <v>29.730499999999999</v>
      </c>
      <c r="H97" s="24">
        <f t="shared" si="49"/>
        <v>29.117499999999996</v>
      </c>
      <c r="I97" s="25">
        <f t="shared" si="49"/>
        <v>28.810999999999996</v>
      </c>
      <c r="K97" s="79">
        <v>35.020000000000003</v>
      </c>
      <c r="L97" s="99">
        <v>36.78</v>
      </c>
      <c r="M97" s="79">
        <v>29.18</v>
      </c>
      <c r="N97" s="99">
        <v>30.65</v>
      </c>
      <c r="O97" s="88"/>
      <c r="P97" s="97" t="s">
        <v>336</v>
      </c>
      <c r="Q97" s="95"/>
      <c r="R97" s="95"/>
      <c r="S97" s="95"/>
      <c r="T97" s="95">
        <f t="shared" ref="T97:T104" si="50">SUM(Q97:S97)</f>
        <v>0</v>
      </c>
      <c r="U97" s="95"/>
      <c r="V97" s="95">
        <f t="shared" si="35"/>
        <v>0</v>
      </c>
      <c r="W97" s="95"/>
      <c r="X97" s="95"/>
    </row>
    <row r="98" spans="1:24" x14ac:dyDescent="0.2">
      <c r="A98" s="59">
        <v>101</v>
      </c>
      <c r="B98" s="116"/>
      <c r="C98" s="6" t="s">
        <v>99</v>
      </c>
      <c r="D98" s="12" t="s">
        <v>188</v>
      </c>
      <c r="E98" s="34">
        <f>L98</f>
        <v>35.92</v>
      </c>
      <c r="F98" s="35">
        <f>N98</f>
        <v>29.93</v>
      </c>
      <c r="G98" s="23">
        <f t="shared" si="49"/>
        <v>29.0321</v>
      </c>
      <c r="H98" s="24">
        <f t="shared" si="49"/>
        <v>28.433499999999999</v>
      </c>
      <c r="I98" s="25">
        <f t="shared" si="49"/>
        <v>28.1342</v>
      </c>
      <c r="K98" s="76">
        <v>34.200000000000003</v>
      </c>
      <c r="L98" s="99">
        <v>35.92</v>
      </c>
      <c r="M98" s="76">
        <v>28.5</v>
      </c>
      <c r="N98" s="99">
        <v>29.93</v>
      </c>
      <c r="O98" s="88"/>
      <c r="P98" s="97" t="s">
        <v>336</v>
      </c>
      <c r="Q98" s="95"/>
      <c r="R98" s="95"/>
      <c r="S98" s="95"/>
      <c r="T98" s="95">
        <f t="shared" si="50"/>
        <v>0</v>
      </c>
      <c r="U98" s="95"/>
      <c r="V98" s="95">
        <f t="shared" si="35"/>
        <v>0</v>
      </c>
      <c r="W98" s="95"/>
      <c r="X98" s="95"/>
    </row>
    <row r="99" spans="1:24" x14ac:dyDescent="0.2">
      <c r="A99" s="59">
        <v>102</v>
      </c>
      <c r="B99" s="116"/>
      <c r="C99" s="6" t="s">
        <v>100</v>
      </c>
      <c r="D99" s="12" t="s">
        <v>188</v>
      </c>
      <c r="E99" s="34">
        <f>L99</f>
        <v>97.53</v>
      </c>
      <c r="F99" s="35">
        <f>N99</f>
        <v>81.28</v>
      </c>
      <c r="G99" s="23">
        <f t="shared" si="49"/>
        <v>78.8416</v>
      </c>
      <c r="H99" s="24">
        <f t="shared" si="49"/>
        <v>77.215999999999994</v>
      </c>
      <c r="I99" s="25">
        <f t="shared" si="49"/>
        <v>76.403199999999998</v>
      </c>
      <c r="K99" s="76">
        <v>94.6</v>
      </c>
      <c r="L99" s="99">
        <v>97.53</v>
      </c>
      <c r="M99" s="76">
        <v>78.84</v>
      </c>
      <c r="N99" s="99">
        <v>81.28</v>
      </c>
      <c r="O99" s="88"/>
      <c r="P99" s="97" t="s">
        <v>336</v>
      </c>
      <c r="Q99" s="95"/>
      <c r="R99" s="95"/>
      <c r="S99" s="95"/>
      <c r="T99" s="95">
        <f t="shared" si="50"/>
        <v>0</v>
      </c>
      <c r="U99" s="95"/>
      <c r="V99" s="95">
        <f t="shared" si="35"/>
        <v>0</v>
      </c>
      <c r="W99" s="95"/>
      <c r="X99" s="95"/>
    </row>
    <row r="100" spans="1:24" x14ac:dyDescent="0.2">
      <c r="A100" s="59">
        <v>103</v>
      </c>
      <c r="B100" s="116"/>
      <c r="C100" s="6" t="s">
        <v>102</v>
      </c>
      <c r="D100" s="12" t="s">
        <v>188</v>
      </c>
      <c r="E100" s="34">
        <f>L100</f>
        <v>168.22</v>
      </c>
      <c r="F100" s="35">
        <f>N100</f>
        <v>140.18</v>
      </c>
      <c r="G100" s="23">
        <f t="shared" si="49"/>
        <v>135.97460000000001</v>
      </c>
      <c r="H100" s="24">
        <f t="shared" si="49"/>
        <v>133.17099999999999</v>
      </c>
      <c r="I100" s="25">
        <f t="shared" si="49"/>
        <v>131.76920000000001</v>
      </c>
      <c r="K100" s="76">
        <v>160.15</v>
      </c>
      <c r="L100" s="99">
        <v>168.22</v>
      </c>
      <c r="M100" s="76">
        <v>133.46</v>
      </c>
      <c r="N100" s="99">
        <v>140.18</v>
      </c>
      <c r="O100" s="88"/>
      <c r="P100" s="97" t="s">
        <v>336</v>
      </c>
      <c r="Q100" s="95"/>
      <c r="R100" s="95"/>
      <c r="S100" s="95"/>
      <c r="T100" s="95">
        <f t="shared" si="50"/>
        <v>0</v>
      </c>
      <c r="U100" s="95"/>
      <c r="V100" s="95">
        <f t="shared" si="35"/>
        <v>0</v>
      </c>
      <c r="W100" s="95"/>
      <c r="X100" s="95"/>
    </row>
    <row r="101" spans="1:24" x14ac:dyDescent="0.2">
      <c r="A101" s="59">
        <v>104</v>
      </c>
      <c r="B101" s="116"/>
      <c r="C101" s="6" t="s">
        <v>101</v>
      </c>
      <c r="D101" s="12" t="s">
        <v>188</v>
      </c>
      <c r="E101" s="34">
        <f>L101</f>
        <v>257.99</v>
      </c>
      <c r="F101" s="35">
        <f>N101</f>
        <v>214.99</v>
      </c>
      <c r="G101" s="23">
        <f t="shared" si="49"/>
        <v>208.5403</v>
      </c>
      <c r="H101" s="24">
        <f t="shared" si="49"/>
        <v>204.2405</v>
      </c>
      <c r="I101" s="25">
        <f t="shared" si="49"/>
        <v>202.09059999999999</v>
      </c>
      <c r="K101" s="76">
        <v>279.63</v>
      </c>
      <c r="L101" s="99">
        <v>257.99</v>
      </c>
      <c r="M101" s="76">
        <v>233.02</v>
      </c>
      <c r="N101" s="99">
        <v>214.99</v>
      </c>
      <c r="O101" s="88"/>
      <c r="P101" s="97" t="s">
        <v>336</v>
      </c>
      <c r="Q101" s="95"/>
      <c r="R101" s="95"/>
      <c r="S101" s="95"/>
      <c r="T101" s="95">
        <f t="shared" si="50"/>
        <v>0</v>
      </c>
      <c r="U101" s="95"/>
      <c r="V101" s="95">
        <f t="shared" si="35"/>
        <v>0</v>
      </c>
      <c r="W101" s="95"/>
      <c r="X101" s="95"/>
    </row>
    <row r="102" spans="1:24" x14ac:dyDescent="0.2">
      <c r="A102" s="59">
        <v>105</v>
      </c>
      <c r="B102" s="122"/>
      <c r="C102" s="6" t="s">
        <v>104</v>
      </c>
      <c r="D102" s="12" t="s">
        <v>188</v>
      </c>
      <c r="E102" s="34">
        <f>+K102</f>
        <v>5.85</v>
      </c>
      <c r="F102" s="35">
        <f>+M102</f>
        <v>4.88</v>
      </c>
      <c r="G102" s="23">
        <f t="shared" si="49"/>
        <v>4.7336</v>
      </c>
      <c r="H102" s="24">
        <f t="shared" si="49"/>
        <v>4.6360000000000001</v>
      </c>
      <c r="I102" s="25">
        <f t="shared" si="49"/>
        <v>4.5871999999999993</v>
      </c>
      <c r="K102" s="99">
        <v>5.85</v>
      </c>
      <c r="L102" s="76">
        <f>ROUND(+V102*(1+W102)*(1+X102)*(1+$Q$1),0)</f>
        <v>0</v>
      </c>
      <c r="M102" s="99">
        <v>4.88</v>
      </c>
      <c r="N102" s="76">
        <f>ROUND(+V102*(1+W102)*(1+$Q$1),0)</f>
        <v>0</v>
      </c>
      <c r="O102" s="88"/>
      <c r="P102" s="97" t="s">
        <v>348</v>
      </c>
      <c r="Q102" s="96" t="s">
        <v>358</v>
      </c>
      <c r="R102" s="95"/>
      <c r="S102" s="95"/>
      <c r="T102" s="95">
        <f t="shared" si="50"/>
        <v>0</v>
      </c>
      <c r="U102" s="95"/>
      <c r="V102" s="95">
        <f t="shared" si="35"/>
        <v>0</v>
      </c>
      <c r="W102" s="95"/>
      <c r="X102" s="95"/>
    </row>
    <row r="103" spans="1:24" x14ac:dyDescent="0.2">
      <c r="A103" s="59">
        <v>106</v>
      </c>
      <c r="B103" s="130"/>
      <c r="C103" s="6" t="s">
        <v>105</v>
      </c>
      <c r="D103" s="12" t="s">
        <v>188</v>
      </c>
      <c r="E103" s="34">
        <f>+K103</f>
        <v>5.85</v>
      </c>
      <c r="F103" s="35">
        <f>+M103</f>
        <v>4.88</v>
      </c>
      <c r="G103" s="23">
        <f t="shared" si="49"/>
        <v>4.7336</v>
      </c>
      <c r="H103" s="24">
        <f t="shared" si="49"/>
        <v>4.6360000000000001</v>
      </c>
      <c r="I103" s="25">
        <f t="shared" si="49"/>
        <v>4.5871999999999993</v>
      </c>
      <c r="K103" s="99">
        <v>5.85</v>
      </c>
      <c r="L103" s="76">
        <f>ROUND(+V103*(1+W103)*(1+X103)*(1+$Q$1),0)</f>
        <v>0</v>
      </c>
      <c r="M103" s="99">
        <v>4.88</v>
      </c>
      <c r="N103" s="76">
        <f>ROUND(+V103*(1+W103)*(1+$Q$1),0)</f>
        <v>0</v>
      </c>
      <c r="O103" s="88"/>
      <c r="P103" s="97" t="s">
        <v>348</v>
      </c>
      <c r="Q103" s="96" t="s">
        <v>358</v>
      </c>
      <c r="R103" s="95"/>
      <c r="S103" s="95"/>
      <c r="T103" s="95">
        <f t="shared" si="50"/>
        <v>0</v>
      </c>
      <c r="U103" s="95"/>
      <c r="V103" s="95">
        <f t="shared" si="35"/>
        <v>0</v>
      </c>
      <c r="W103" s="95"/>
      <c r="X103" s="95"/>
    </row>
    <row r="104" spans="1:24" x14ac:dyDescent="0.2">
      <c r="A104" s="60">
        <v>107</v>
      </c>
      <c r="B104" s="118"/>
      <c r="C104" s="7" t="s">
        <v>433</v>
      </c>
      <c r="D104" s="13" t="s">
        <v>188</v>
      </c>
      <c r="E104" s="34">
        <f>L104</f>
        <v>2.2599999999999998</v>
      </c>
      <c r="F104" s="35">
        <f>N104</f>
        <v>1.88</v>
      </c>
      <c r="G104" s="23">
        <f t="shared" si="49"/>
        <v>1.8235999999999999</v>
      </c>
      <c r="H104" s="24">
        <f t="shared" si="49"/>
        <v>1.7859999999999998</v>
      </c>
      <c r="I104" s="25">
        <f t="shared" si="49"/>
        <v>1.7671999999999999</v>
      </c>
      <c r="K104" s="77">
        <v>2.15</v>
      </c>
      <c r="L104" s="99">
        <v>2.2599999999999998</v>
      </c>
      <c r="M104" s="77">
        <v>1.79</v>
      </c>
      <c r="N104" s="99">
        <v>1.88</v>
      </c>
      <c r="O104" s="88"/>
      <c r="P104" s="97" t="s">
        <v>336</v>
      </c>
      <c r="Q104" s="95"/>
      <c r="R104" s="95"/>
      <c r="S104" s="95"/>
      <c r="T104" s="95">
        <f t="shared" si="50"/>
        <v>0</v>
      </c>
      <c r="U104" s="95"/>
      <c r="V104" s="95">
        <f t="shared" si="35"/>
        <v>0</v>
      </c>
      <c r="W104" s="95"/>
      <c r="X104" s="95"/>
    </row>
    <row r="105" spans="1:24" x14ac:dyDescent="0.2">
      <c r="A105" s="20"/>
      <c r="B105" s="20"/>
      <c r="C105" s="2" t="s">
        <v>106</v>
      </c>
      <c r="D105" s="14"/>
      <c r="E105" s="48"/>
      <c r="F105" s="48"/>
      <c r="G105" s="48"/>
      <c r="H105" s="48"/>
      <c r="I105" s="48"/>
      <c r="K105" s="78"/>
      <c r="L105" s="76"/>
      <c r="M105" s="78"/>
      <c r="N105" s="76"/>
      <c r="O105" s="88"/>
      <c r="T105" s="1">
        <f t="shared" si="34"/>
        <v>0</v>
      </c>
      <c r="V105" s="1">
        <f t="shared" si="35"/>
        <v>0</v>
      </c>
    </row>
    <row r="106" spans="1:24" ht="15" customHeight="1" x14ac:dyDescent="0.2">
      <c r="A106" s="277" t="s">
        <v>224</v>
      </c>
      <c r="B106" s="278"/>
      <c r="C106" s="278"/>
      <c r="D106" s="278"/>
      <c r="E106" s="278"/>
      <c r="F106" s="278"/>
      <c r="G106" s="278"/>
      <c r="H106" s="278"/>
      <c r="I106" s="279"/>
      <c r="K106" s="73"/>
      <c r="L106" s="76"/>
      <c r="M106" s="73"/>
      <c r="N106" s="76"/>
      <c r="O106" s="88"/>
      <c r="T106" s="1">
        <f t="shared" si="34"/>
        <v>0</v>
      </c>
      <c r="V106" s="1">
        <f t="shared" si="35"/>
        <v>0</v>
      </c>
    </row>
    <row r="107" spans="1:24" x14ac:dyDescent="0.2">
      <c r="B107" s="150"/>
      <c r="C107" s="6" t="s">
        <v>215</v>
      </c>
      <c r="D107" s="12" t="s">
        <v>216</v>
      </c>
      <c r="E107" s="34">
        <f>+K107</f>
        <v>8.75</v>
      </c>
      <c r="F107" s="35">
        <f>+M107</f>
        <v>7.5</v>
      </c>
      <c r="G107" s="23">
        <f t="shared" ref="G107:I114" si="51">$F107*(1-G$1)</f>
        <v>7.2749999999999995</v>
      </c>
      <c r="H107" s="24">
        <f t="shared" si="51"/>
        <v>7.125</v>
      </c>
      <c r="I107" s="25">
        <f t="shared" si="51"/>
        <v>7.05</v>
      </c>
      <c r="K107" s="162">
        <v>8.75</v>
      </c>
      <c r="L107" s="76">
        <f t="shared" si="36"/>
        <v>8</v>
      </c>
      <c r="M107" s="162">
        <v>7.5</v>
      </c>
      <c r="N107" s="76">
        <f t="shared" si="37"/>
        <v>7</v>
      </c>
      <c r="O107" s="88"/>
      <c r="P107" s="94" t="s">
        <v>277</v>
      </c>
      <c r="Q107" s="95">
        <v>4.5</v>
      </c>
      <c r="R107" s="95">
        <f>1400/26/150</f>
        <v>0.35897435897435898</v>
      </c>
      <c r="S107" s="95"/>
      <c r="T107" s="95">
        <f t="shared" si="34"/>
        <v>4.8589743589743586</v>
      </c>
      <c r="U107" s="95"/>
      <c r="V107" s="95">
        <f t="shared" si="35"/>
        <v>4.8589743589743586</v>
      </c>
      <c r="W107" s="95">
        <v>0.35</v>
      </c>
      <c r="X107" s="95">
        <v>0.2</v>
      </c>
    </row>
    <row r="108" spans="1:24" x14ac:dyDescent="0.2">
      <c r="B108" s="150"/>
      <c r="C108" s="6" t="s">
        <v>217</v>
      </c>
      <c r="D108" s="12" t="s">
        <v>223</v>
      </c>
      <c r="E108" s="34">
        <f t="shared" ref="E108:E114" si="52">+K108</f>
        <v>13.25</v>
      </c>
      <c r="F108" s="35">
        <f t="shared" ref="F108:F114" si="53">+M108</f>
        <v>11.25</v>
      </c>
      <c r="G108" s="23">
        <f t="shared" si="51"/>
        <v>10.9125</v>
      </c>
      <c r="H108" s="24">
        <f t="shared" si="51"/>
        <v>10.6875</v>
      </c>
      <c r="I108" s="25">
        <f t="shared" si="51"/>
        <v>10.574999999999999</v>
      </c>
      <c r="K108" s="162">
        <v>13.25</v>
      </c>
      <c r="L108" s="76">
        <f t="shared" si="36"/>
        <v>13</v>
      </c>
      <c r="M108" s="162">
        <v>11.25</v>
      </c>
      <c r="N108" s="76">
        <f t="shared" si="37"/>
        <v>10</v>
      </c>
      <c r="O108" s="88"/>
      <c r="P108" s="94" t="s">
        <v>277</v>
      </c>
      <c r="Q108" s="95">
        <v>7</v>
      </c>
      <c r="R108" s="95">
        <f>1400/26/100</f>
        <v>0.53846153846153844</v>
      </c>
      <c r="S108" s="95"/>
      <c r="T108" s="95">
        <f t="shared" si="34"/>
        <v>7.5384615384615383</v>
      </c>
      <c r="U108" s="95"/>
      <c r="V108" s="95">
        <f t="shared" si="35"/>
        <v>7.5384615384615383</v>
      </c>
      <c r="W108" s="95">
        <v>0.35</v>
      </c>
      <c r="X108" s="95">
        <v>0.2</v>
      </c>
    </row>
    <row r="109" spans="1:24" x14ac:dyDescent="0.2">
      <c r="B109" s="150"/>
      <c r="C109" s="6" t="s">
        <v>218</v>
      </c>
      <c r="D109" s="12" t="s">
        <v>216</v>
      </c>
      <c r="E109" s="34">
        <f t="shared" si="52"/>
        <v>9</v>
      </c>
      <c r="F109" s="35">
        <f t="shared" si="53"/>
        <v>7.75</v>
      </c>
      <c r="G109" s="23">
        <f t="shared" si="51"/>
        <v>7.5175000000000001</v>
      </c>
      <c r="H109" s="24">
        <f t="shared" si="51"/>
        <v>7.3624999999999998</v>
      </c>
      <c r="I109" s="25">
        <f t="shared" si="51"/>
        <v>7.2849999999999993</v>
      </c>
      <c r="K109" s="162">
        <v>9</v>
      </c>
      <c r="L109" s="76">
        <f t="shared" si="36"/>
        <v>9</v>
      </c>
      <c r="M109" s="162">
        <v>7.75</v>
      </c>
      <c r="N109" s="76">
        <f t="shared" si="37"/>
        <v>7</v>
      </c>
      <c r="O109" s="88"/>
      <c r="P109" s="94" t="s">
        <v>277</v>
      </c>
      <c r="Q109" s="95">
        <v>5</v>
      </c>
      <c r="R109" s="95">
        <f>1400/26/150</f>
        <v>0.35897435897435898</v>
      </c>
      <c r="S109" s="95"/>
      <c r="T109" s="95">
        <f t="shared" si="34"/>
        <v>5.3589743589743586</v>
      </c>
      <c r="U109" s="95"/>
      <c r="V109" s="95">
        <f t="shared" si="35"/>
        <v>5.3589743589743586</v>
      </c>
      <c r="W109" s="95">
        <v>0.35</v>
      </c>
      <c r="X109" s="95">
        <v>0.2</v>
      </c>
    </row>
    <row r="110" spans="1:24" x14ac:dyDescent="0.2">
      <c r="B110" s="150"/>
      <c r="C110" s="6" t="s">
        <v>219</v>
      </c>
      <c r="D110" s="12" t="s">
        <v>223</v>
      </c>
      <c r="E110" s="34">
        <f t="shared" si="52"/>
        <v>13.75</v>
      </c>
      <c r="F110" s="35">
        <f t="shared" si="53"/>
        <v>11.75</v>
      </c>
      <c r="G110" s="23">
        <f t="shared" si="51"/>
        <v>11.397499999999999</v>
      </c>
      <c r="H110" s="24">
        <f t="shared" si="51"/>
        <v>11.1625</v>
      </c>
      <c r="I110" s="25">
        <f t="shared" si="51"/>
        <v>11.045</v>
      </c>
      <c r="K110" s="162">
        <v>13.75</v>
      </c>
      <c r="L110" s="76">
        <f t="shared" si="36"/>
        <v>13</v>
      </c>
      <c r="M110" s="162">
        <v>11.75</v>
      </c>
      <c r="N110" s="76">
        <f t="shared" si="37"/>
        <v>11</v>
      </c>
      <c r="O110" s="88"/>
      <c r="P110" s="94" t="s">
        <v>277</v>
      </c>
      <c r="Q110" s="95">
        <v>7.5</v>
      </c>
      <c r="R110" s="95">
        <f>1400/26/100</f>
        <v>0.53846153846153844</v>
      </c>
      <c r="S110" s="95"/>
      <c r="T110" s="95">
        <f t="shared" si="34"/>
        <v>8.0384615384615383</v>
      </c>
      <c r="U110" s="95"/>
      <c r="V110" s="95">
        <f t="shared" si="35"/>
        <v>8.0384615384615383</v>
      </c>
      <c r="W110" s="95">
        <v>0.35</v>
      </c>
      <c r="X110" s="95">
        <v>0.2</v>
      </c>
    </row>
    <row r="111" spans="1:24" x14ac:dyDescent="0.2">
      <c r="B111" s="150"/>
      <c r="C111" s="6" t="s">
        <v>220</v>
      </c>
      <c r="D111" s="12" t="s">
        <v>216</v>
      </c>
      <c r="E111" s="34">
        <f t="shared" si="52"/>
        <v>8.5</v>
      </c>
      <c r="F111" s="35">
        <f t="shared" si="53"/>
        <v>7.25</v>
      </c>
      <c r="G111" s="23">
        <f t="shared" si="51"/>
        <v>7.0324999999999998</v>
      </c>
      <c r="H111" s="24">
        <f t="shared" si="51"/>
        <v>6.8874999999999993</v>
      </c>
      <c r="I111" s="25">
        <f t="shared" si="51"/>
        <v>6.8149999999999995</v>
      </c>
      <c r="K111" s="162">
        <v>8.5</v>
      </c>
      <c r="L111" s="76">
        <f t="shared" si="36"/>
        <v>8</v>
      </c>
      <c r="M111" s="162">
        <v>7.25</v>
      </c>
      <c r="N111" s="76">
        <f t="shared" si="37"/>
        <v>7</v>
      </c>
      <c r="O111" s="88"/>
      <c r="P111" s="94" t="s">
        <v>277</v>
      </c>
      <c r="Q111" s="95">
        <v>4.5</v>
      </c>
      <c r="R111" s="95">
        <f>1400/26/150</f>
        <v>0.35897435897435898</v>
      </c>
      <c r="S111" s="95"/>
      <c r="T111" s="95">
        <f t="shared" si="34"/>
        <v>4.8589743589743586</v>
      </c>
      <c r="U111" s="95"/>
      <c r="V111" s="95">
        <f t="shared" si="35"/>
        <v>4.8589743589743586</v>
      </c>
      <c r="W111" s="95">
        <v>0.35</v>
      </c>
      <c r="X111" s="95">
        <v>0.2</v>
      </c>
    </row>
    <row r="112" spans="1:24" x14ac:dyDescent="0.2">
      <c r="B112" s="150"/>
      <c r="C112" s="6" t="s">
        <v>221</v>
      </c>
      <c r="D112" s="12" t="s">
        <v>223</v>
      </c>
      <c r="E112" s="34">
        <f t="shared" si="52"/>
        <v>13</v>
      </c>
      <c r="F112" s="35">
        <f t="shared" si="53"/>
        <v>11</v>
      </c>
      <c r="G112" s="23">
        <f t="shared" si="51"/>
        <v>10.67</v>
      </c>
      <c r="H112" s="24">
        <f t="shared" si="51"/>
        <v>10.45</v>
      </c>
      <c r="I112" s="25">
        <f t="shared" si="51"/>
        <v>10.34</v>
      </c>
      <c r="K112" s="162">
        <v>13</v>
      </c>
      <c r="L112" s="76">
        <f t="shared" si="36"/>
        <v>13</v>
      </c>
      <c r="M112" s="162">
        <v>11</v>
      </c>
      <c r="N112" s="76">
        <f t="shared" si="37"/>
        <v>10</v>
      </c>
      <c r="O112" s="88"/>
      <c r="P112" s="94" t="s">
        <v>277</v>
      </c>
      <c r="Q112" s="95">
        <v>7</v>
      </c>
      <c r="R112" s="95">
        <f>1400/26/100</f>
        <v>0.53846153846153844</v>
      </c>
      <c r="S112" s="95"/>
      <c r="T112" s="95">
        <f t="shared" si="34"/>
        <v>7.5384615384615383</v>
      </c>
      <c r="U112" s="95"/>
      <c r="V112" s="95">
        <f t="shared" si="35"/>
        <v>7.5384615384615383</v>
      </c>
      <c r="W112" s="95">
        <v>0.35</v>
      </c>
      <c r="X112" s="95">
        <v>0.2</v>
      </c>
    </row>
    <row r="113" spans="1:24" x14ac:dyDescent="0.2">
      <c r="B113" s="150"/>
      <c r="C113" s="6" t="s">
        <v>213</v>
      </c>
      <c r="D113" s="12" t="s">
        <v>222</v>
      </c>
      <c r="E113" s="34">
        <f t="shared" si="52"/>
        <v>196</v>
      </c>
      <c r="F113" s="35">
        <f t="shared" si="53"/>
        <v>140</v>
      </c>
      <c r="G113" s="23">
        <f t="shared" si="51"/>
        <v>135.79999999999998</v>
      </c>
      <c r="H113" s="24">
        <f t="shared" si="51"/>
        <v>133</v>
      </c>
      <c r="I113" s="25">
        <f t="shared" si="51"/>
        <v>131.6</v>
      </c>
      <c r="K113" s="162">
        <v>196</v>
      </c>
      <c r="L113" s="76">
        <f t="shared" si="36"/>
        <v>192</v>
      </c>
      <c r="M113" s="162">
        <v>140</v>
      </c>
      <c r="N113" s="76">
        <f t="shared" si="37"/>
        <v>160</v>
      </c>
      <c r="O113" s="88"/>
      <c r="P113" s="94" t="s">
        <v>277</v>
      </c>
      <c r="Q113" s="95">
        <v>109</v>
      </c>
      <c r="R113" s="95">
        <f>1400/24/10</f>
        <v>5.8333333333333339</v>
      </c>
      <c r="S113" s="95"/>
      <c r="T113" s="95">
        <f t="shared" si="34"/>
        <v>114.83333333333333</v>
      </c>
      <c r="U113" s="95"/>
      <c r="V113" s="95">
        <f t="shared" si="35"/>
        <v>114.83333333333333</v>
      </c>
      <c r="W113" s="95">
        <v>0.35</v>
      </c>
      <c r="X113" s="95">
        <v>0.2</v>
      </c>
    </row>
    <row r="114" spans="1:24" x14ac:dyDescent="0.2">
      <c r="B114" s="150"/>
      <c r="C114" s="6" t="s">
        <v>214</v>
      </c>
      <c r="D114" s="12" t="s">
        <v>222</v>
      </c>
      <c r="E114" s="34">
        <f t="shared" si="52"/>
        <v>14</v>
      </c>
      <c r="F114" s="35">
        <f t="shared" si="53"/>
        <v>10</v>
      </c>
      <c r="G114" s="23">
        <f t="shared" si="51"/>
        <v>9.6999999999999993</v>
      </c>
      <c r="H114" s="24">
        <f t="shared" si="51"/>
        <v>9.5</v>
      </c>
      <c r="I114" s="25">
        <f t="shared" si="51"/>
        <v>9.3999999999999986</v>
      </c>
      <c r="K114" s="162">
        <v>14</v>
      </c>
      <c r="L114" s="76">
        <f t="shared" si="36"/>
        <v>11</v>
      </c>
      <c r="M114" s="162">
        <v>10</v>
      </c>
      <c r="N114" s="76">
        <f t="shared" si="37"/>
        <v>9</v>
      </c>
      <c r="O114" s="88"/>
      <c r="P114" s="94" t="s">
        <v>277</v>
      </c>
      <c r="Q114" s="95">
        <v>5.75</v>
      </c>
      <c r="R114" s="95">
        <f>1400/26/50</f>
        <v>1.0769230769230769</v>
      </c>
      <c r="S114" s="95"/>
      <c r="T114" s="95">
        <f t="shared" si="34"/>
        <v>6.8269230769230766</v>
      </c>
      <c r="U114" s="95"/>
      <c r="V114" s="95">
        <f t="shared" si="35"/>
        <v>6.8269230769230766</v>
      </c>
      <c r="W114" s="95">
        <v>0.35</v>
      </c>
      <c r="X114" s="95">
        <v>0.2</v>
      </c>
    </row>
    <row r="115" spans="1:24" ht="15" customHeight="1" x14ac:dyDescent="0.2">
      <c r="A115" s="277" t="s">
        <v>225</v>
      </c>
      <c r="B115" s="278"/>
      <c r="C115" s="278"/>
      <c r="D115" s="278"/>
      <c r="E115" s="278"/>
      <c r="F115" s="278"/>
      <c r="G115" s="278"/>
      <c r="H115" s="278"/>
      <c r="I115" s="279"/>
      <c r="K115" s="73"/>
      <c r="L115" s="76"/>
      <c r="M115" s="73"/>
      <c r="N115" s="76"/>
      <c r="O115" s="88"/>
      <c r="T115" s="1">
        <f t="shared" si="34"/>
        <v>0</v>
      </c>
      <c r="V115" s="1">
        <f t="shared" si="35"/>
        <v>0</v>
      </c>
    </row>
    <row r="116" spans="1:24" x14ac:dyDescent="0.2">
      <c r="B116" s="117"/>
      <c r="C116" s="7" t="s">
        <v>190</v>
      </c>
      <c r="D116" s="17"/>
      <c r="E116" s="43"/>
      <c r="F116" s="44"/>
      <c r="G116" s="40"/>
      <c r="H116" s="41"/>
      <c r="I116" s="42"/>
      <c r="K116" s="82"/>
      <c r="L116" s="76"/>
      <c r="M116" s="82"/>
      <c r="N116" s="76"/>
      <c r="O116" s="88"/>
      <c r="P116" s="94"/>
      <c r="Q116" s="95"/>
      <c r="R116" s="95"/>
      <c r="S116" s="95"/>
      <c r="T116" s="95">
        <f t="shared" si="34"/>
        <v>0</v>
      </c>
      <c r="U116" s="95"/>
      <c r="V116" s="95">
        <f t="shared" si="35"/>
        <v>0</v>
      </c>
      <c r="W116" s="95"/>
      <c r="X116" s="95"/>
    </row>
    <row r="117" spans="1:24" x14ac:dyDescent="0.2">
      <c r="A117" s="60"/>
      <c r="B117" s="117"/>
      <c r="C117" s="7" t="s">
        <v>191</v>
      </c>
      <c r="D117" s="18"/>
      <c r="E117" s="38"/>
      <c r="F117" s="39"/>
      <c r="G117" s="40"/>
      <c r="H117" s="41"/>
      <c r="I117" s="42"/>
      <c r="K117" s="83"/>
      <c r="L117" s="76"/>
      <c r="M117" s="83"/>
      <c r="N117" s="76"/>
      <c r="O117" s="88"/>
      <c r="P117" s="94"/>
      <c r="Q117" s="95"/>
      <c r="R117" s="95"/>
      <c r="S117" s="95"/>
      <c r="T117" s="95">
        <f t="shared" si="34"/>
        <v>0</v>
      </c>
      <c r="U117" s="95"/>
      <c r="V117" s="95">
        <f t="shared" si="35"/>
        <v>0</v>
      </c>
      <c r="W117" s="95"/>
      <c r="X117" s="95"/>
    </row>
    <row r="118" spans="1:24" x14ac:dyDescent="0.2">
      <c r="A118" s="20"/>
      <c r="B118" s="20"/>
      <c r="C118" s="2" t="s">
        <v>107</v>
      </c>
      <c r="D118" s="14"/>
      <c r="E118" s="48"/>
      <c r="F118" s="48"/>
      <c r="G118" s="48"/>
      <c r="H118" s="48"/>
      <c r="I118" s="48"/>
      <c r="K118" s="78"/>
      <c r="L118" s="76"/>
      <c r="M118" s="78"/>
      <c r="N118" s="76"/>
      <c r="O118" s="88"/>
      <c r="T118" s="1">
        <f t="shared" si="34"/>
        <v>0</v>
      </c>
      <c r="V118" s="1">
        <f t="shared" si="35"/>
        <v>0</v>
      </c>
    </row>
    <row r="119" spans="1:24" ht="15" customHeight="1" x14ac:dyDescent="0.2">
      <c r="A119" s="277" t="s">
        <v>434</v>
      </c>
      <c r="B119" s="278"/>
      <c r="C119" s="278"/>
      <c r="D119" s="278"/>
      <c r="E119" s="278"/>
      <c r="F119" s="278"/>
      <c r="G119" s="278"/>
      <c r="H119" s="278"/>
      <c r="I119" s="279"/>
      <c r="K119" s="73"/>
      <c r="L119" s="76"/>
      <c r="M119" s="73"/>
      <c r="N119" s="76"/>
      <c r="O119" s="88"/>
      <c r="T119" s="1">
        <f t="shared" si="34"/>
        <v>0</v>
      </c>
      <c r="V119" s="1">
        <f t="shared" si="35"/>
        <v>0</v>
      </c>
    </row>
    <row r="120" spans="1:24" x14ac:dyDescent="0.2">
      <c r="A120" s="60"/>
      <c r="B120" s="117"/>
      <c r="C120" s="7" t="s">
        <v>108</v>
      </c>
      <c r="D120" s="19"/>
      <c r="E120" s="43"/>
      <c r="F120" s="44"/>
      <c r="G120" s="40"/>
      <c r="H120" s="41"/>
      <c r="I120" s="42"/>
      <c r="K120" s="82"/>
      <c r="L120" s="76"/>
      <c r="M120" s="82"/>
      <c r="N120" s="76"/>
      <c r="O120" s="88"/>
      <c r="P120" s="94"/>
      <c r="Q120" s="95"/>
      <c r="R120" s="95"/>
      <c r="S120" s="95"/>
      <c r="T120" s="95">
        <f t="shared" si="34"/>
        <v>0</v>
      </c>
      <c r="U120" s="95"/>
      <c r="V120" s="95">
        <f t="shared" si="35"/>
        <v>0</v>
      </c>
      <c r="W120" s="95"/>
      <c r="X120" s="95"/>
    </row>
    <row r="121" spans="1:24" x14ac:dyDescent="0.2">
      <c r="A121" s="20"/>
      <c r="B121" s="20"/>
      <c r="C121" s="2" t="s">
        <v>109</v>
      </c>
      <c r="D121" s="14"/>
      <c r="E121" s="48"/>
      <c r="F121" s="48"/>
      <c r="G121" s="48"/>
      <c r="H121" s="48"/>
      <c r="I121" s="48"/>
      <c r="K121" s="78"/>
      <c r="L121" s="76"/>
      <c r="M121" s="78"/>
      <c r="N121" s="76"/>
      <c r="O121" s="88"/>
      <c r="T121" s="1">
        <f t="shared" si="34"/>
        <v>0</v>
      </c>
      <c r="V121" s="1">
        <f t="shared" si="35"/>
        <v>0</v>
      </c>
    </row>
    <row r="122" spans="1:24" x14ac:dyDescent="0.2">
      <c r="A122" s="61"/>
      <c r="B122" s="118"/>
      <c r="C122" s="8" t="s">
        <v>110</v>
      </c>
      <c r="D122" s="15" t="s">
        <v>14</v>
      </c>
      <c r="E122" s="34">
        <f>+K122</f>
        <v>54</v>
      </c>
      <c r="F122" s="35">
        <f>+M122</f>
        <v>36</v>
      </c>
      <c r="G122" s="23">
        <f t="shared" ref="G122:I125" si="54">$F122*(1-G$1)</f>
        <v>34.92</v>
      </c>
      <c r="H122" s="24">
        <f t="shared" si="54"/>
        <v>34.199999999999996</v>
      </c>
      <c r="I122" s="25">
        <f t="shared" si="54"/>
        <v>33.839999999999996</v>
      </c>
      <c r="K122" s="101">
        <v>54</v>
      </c>
      <c r="L122" s="76">
        <f t="shared" si="36"/>
        <v>54</v>
      </c>
      <c r="M122" s="101">
        <v>36</v>
      </c>
      <c r="N122" s="76">
        <f t="shared" si="37"/>
        <v>35</v>
      </c>
      <c r="O122" s="88"/>
      <c r="P122" s="97" t="s">
        <v>352</v>
      </c>
      <c r="Q122" s="96">
        <v>13.48</v>
      </c>
      <c r="R122" s="95"/>
      <c r="S122" s="95"/>
      <c r="T122" s="95">
        <f t="shared" si="34"/>
        <v>13.48</v>
      </c>
      <c r="U122" s="95">
        <v>0.2</v>
      </c>
      <c r="V122" s="95">
        <f t="shared" si="35"/>
        <v>16.175999999999998</v>
      </c>
      <c r="W122" s="95">
        <v>1.1000000000000001</v>
      </c>
      <c r="X122" s="95">
        <v>0.55000000000000004</v>
      </c>
    </row>
    <row r="123" spans="1:24" x14ac:dyDescent="0.2">
      <c r="B123" s="116"/>
      <c r="C123" s="6" t="s">
        <v>111</v>
      </c>
      <c r="D123" s="12" t="s">
        <v>14</v>
      </c>
      <c r="E123" s="34">
        <f>+K123</f>
        <v>66</v>
      </c>
      <c r="F123" s="35">
        <f>+M123</f>
        <v>48</v>
      </c>
      <c r="G123" s="23">
        <f t="shared" si="54"/>
        <v>46.56</v>
      </c>
      <c r="H123" s="24">
        <f t="shared" si="54"/>
        <v>45.599999999999994</v>
      </c>
      <c r="I123" s="25">
        <f t="shared" si="54"/>
        <v>45.12</v>
      </c>
      <c r="K123" s="99">
        <v>66</v>
      </c>
      <c r="L123" s="76">
        <f t="shared" si="36"/>
        <v>57</v>
      </c>
      <c r="M123" s="99">
        <v>48</v>
      </c>
      <c r="N123" s="76">
        <f t="shared" si="37"/>
        <v>41</v>
      </c>
      <c r="O123" s="88"/>
      <c r="P123" s="97" t="s">
        <v>352</v>
      </c>
      <c r="Q123" s="96">
        <v>23.5</v>
      </c>
      <c r="R123" s="95"/>
      <c r="S123" s="95"/>
      <c r="T123" s="95">
        <f>SUM(Q123:S123)</f>
        <v>23.5</v>
      </c>
      <c r="U123" s="95">
        <v>0.05</v>
      </c>
      <c r="V123" s="95">
        <f t="shared" si="35"/>
        <v>24.675000000000001</v>
      </c>
      <c r="W123" s="95">
        <v>0.6</v>
      </c>
      <c r="X123" s="95">
        <v>0.4</v>
      </c>
    </row>
    <row r="124" spans="1:24" x14ac:dyDescent="0.2">
      <c r="B124" s="116"/>
      <c r="C124" s="6" t="s">
        <v>112</v>
      </c>
      <c r="D124" s="12" t="s">
        <v>200</v>
      </c>
      <c r="E124" s="34">
        <f>+K124</f>
        <v>65</v>
      </c>
      <c r="F124" s="35">
        <f>+M124</f>
        <v>50</v>
      </c>
      <c r="G124" s="23">
        <f t="shared" si="54"/>
        <v>48.5</v>
      </c>
      <c r="H124" s="24">
        <f t="shared" si="54"/>
        <v>47.5</v>
      </c>
      <c r="I124" s="25">
        <f t="shared" si="54"/>
        <v>47</v>
      </c>
      <c r="K124" s="99">
        <v>65</v>
      </c>
      <c r="L124" s="76">
        <f t="shared" si="36"/>
        <v>62</v>
      </c>
      <c r="M124" s="99">
        <v>50</v>
      </c>
      <c r="N124" s="76">
        <f t="shared" si="37"/>
        <v>48</v>
      </c>
      <c r="O124" s="88"/>
      <c r="P124" s="97" t="s">
        <v>324</v>
      </c>
      <c r="Q124" s="96">
        <v>23</v>
      </c>
      <c r="R124" s="95">
        <f>200/24</f>
        <v>8.3333333333333339</v>
      </c>
      <c r="S124" s="95"/>
      <c r="T124" s="95">
        <f t="shared" si="34"/>
        <v>31.333333333333336</v>
      </c>
      <c r="U124" s="95">
        <v>0.2</v>
      </c>
      <c r="V124" s="95">
        <f t="shared" si="35"/>
        <v>37.6</v>
      </c>
      <c r="W124" s="95">
        <v>0.23</v>
      </c>
      <c r="X124" s="95">
        <v>0.3</v>
      </c>
    </row>
    <row r="125" spans="1:24" x14ac:dyDescent="0.2">
      <c r="A125" s="60"/>
      <c r="B125" s="117"/>
      <c r="C125" s="7" t="s">
        <v>113</v>
      </c>
      <c r="D125" s="13" t="s">
        <v>14</v>
      </c>
      <c r="E125" s="34">
        <f>L125</f>
        <v>39</v>
      </c>
      <c r="F125" s="35">
        <f t="shared" ref="F125" si="55">N125</f>
        <v>24</v>
      </c>
      <c r="G125" s="23">
        <f t="shared" si="54"/>
        <v>23.28</v>
      </c>
      <c r="H125" s="24">
        <f t="shared" si="54"/>
        <v>22.799999999999997</v>
      </c>
      <c r="I125" s="25">
        <f t="shared" si="54"/>
        <v>22.56</v>
      </c>
      <c r="K125" s="77">
        <v>48</v>
      </c>
      <c r="L125" s="99">
        <f t="shared" si="36"/>
        <v>39</v>
      </c>
      <c r="M125" s="77">
        <v>30</v>
      </c>
      <c r="N125" s="99">
        <f t="shared" si="37"/>
        <v>24</v>
      </c>
      <c r="O125" s="88"/>
      <c r="P125" s="97" t="s">
        <v>352</v>
      </c>
      <c r="Q125" s="96">
        <v>6</v>
      </c>
      <c r="R125" s="95"/>
      <c r="S125" s="95"/>
      <c r="T125" s="95">
        <f t="shared" si="34"/>
        <v>6</v>
      </c>
      <c r="U125" s="95">
        <v>0.2</v>
      </c>
      <c r="V125" s="95">
        <f t="shared" si="35"/>
        <v>7.1999999999999993</v>
      </c>
      <c r="W125" s="95">
        <v>2.2999999999999998</v>
      </c>
      <c r="X125" s="95">
        <v>0.6</v>
      </c>
    </row>
    <row r="126" spans="1:24" x14ac:dyDescent="0.2">
      <c r="A126" s="20"/>
      <c r="B126" s="20"/>
      <c r="C126" s="2" t="s">
        <v>114</v>
      </c>
      <c r="D126" s="20"/>
      <c r="E126" s="49"/>
      <c r="F126" s="50"/>
      <c r="G126" s="50"/>
      <c r="H126" s="50"/>
      <c r="I126" s="50"/>
      <c r="K126" s="80"/>
      <c r="L126" s="76"/>
      <c r="M126" s="81"/>
      <c r="N126" s="76"/>
      <c r="O126" s="88"/>
      <c r="T126" s="1">
        <f t="shared" si="34"/>
        <v>0</v>
      </c>
      <c r="V126" s="1">
        <f t="shared" si="35"/>
        <v>0</v>
      </c>
    </row>
    <row r="127" spans="1:24" x14ac:dyDescent="0.2">
      <c r="A127" s="61"/>
      <c r="B127" s="118"/>
      <c r="C127" s="8" t="s">
        <v>115</v>
      </c>
      <c r="D127" s="15" t="s">
        <v>192</v>
      </c>
      <c r="E127" s="34">
        <f t="shared" ref="E127:E134" si="56">L127</f>
        <v>48</v>
      </c>
      <c r="F127" s="35">
        <f t="shared" ref="F127:F134" si="57">N127</f>
        <v>33</v>
      </c>
      <c r="G127" s="23">
        <f t="shared" ref="G127:I134" si="58">$F127*(1-G$1)</f>
        <v>32.01</v>
      </c>
      <c r="H127" s="24">
        <f t="shared" si="58"/>
        <v>31.349999999999998</v>
      </c>
      <c r="I127" s="25">
        <f t="shared" si="58"/>
        <v>31.02</v>
      </c>
      <c r="K127" s="79">
        <v>46</v>
      </c>
      <c r="L127" s="99">
        <v>48</v>
      </c>
      <c r="M127" s="79">
        <v>31</v>
      </c>
      <c r="N127" s="99">
        <v>33</v>
      </c>
      <c r="O127" s="88"/>
      <c r="P127" s="97" t="s">
        <v>345</v>
      </c>
      <c r="Q127" s="95">
        <v>15.85</v>
      </c>
      <c r="R127" s="95"/>
      <c r="S127" s="95"/>
      <c r="T127" s="95">
        <f t="shared" si="34"/>
        <v>15.85</v>
      </c>
      <c r="U127" s="95"/>
      <c r="V127" s="95">
        <f t="shared" si="35"/>
        <v>15.85</v>
      </c>
      <c r="W127" s="95">
        <v>0.68</v>
      </c>
      <c r="X127" s="95">
        <v>0.5</v>
      </c>
    </row>
    <row r="128" spans="1:24" x14ac:dyDescent="0.2">
      <c r="B128" s="116"/>
      <c r="C128" s="6" t="s">
        <v>116</v>
      </c>
      <c r="D128" s="12" t="s">
        <v>192</v>
      </c>
      <c r="E128" s="34">
        <f t="shared" si="56"/>
        <v>62</v>
      </c>
      <c r="F128" s="35">
        <f t="shared" si="57"/>
        <v>44</v>
      </c>
      <c r="G128" s="23">
        <f t="shared" si="58"/>
        <v>42.68</v>
      </c>
      <c r="H128" s="24">
        <f t="shared" si="58"/>
        <v>41.8</v>
      </c>
      <c r="I128" s="25">
        <f t="shared" si="58"/>
        <v>41.36</v>
      </c>
      <c r="K128" s="76">
        <v>60</v>
      </c>
      <c r="L128" s="99">
        <v>62</v>
      </c>
      <c r="M128" s="76">
        <v>43</v>
      </c>
      <c r="N128" s="99">
        <v>44</v>
      </c>
      <c r="O128" s="88"/>
      <c r="P128" s="97" t="s">
        <v>347</v>
      </c>
      <c r="Q128" s="95">
        <v>20.95</v>
      </c>
      <c r="R128" s="95"/>
      <c r="S128" s="95"/>
      <c r="T128" s="95">
        <f t="shared" si="34"/>
        <v>20.95</v>
      </c>
      <c r="U128" s="95"/>
      <c r="V128" s="95">
        <f t="shared" si="35"/>
        <v>20.95</v>
      </c>
      <c r="W128" s="95">
        <v>0.7</v>
      </c>
      <c r="X128" s="95">
        <v>0.4</v>
      </c>
    </row>
    <row r="129" spans="1:24" x14ac:dyDescent="0.2">
      <c r="B129" s="116"/>
      <c r="C129" s="6" t="s">
        <v>117</v>
      </c>
      <c r="D129" s="12" t="s">
        <v>192</v>
      </c>
      <c r="E129" s="34">
        <f t="shared" si="56"/>
        <v>55</v>
      </c>
      <c r="F129" s="35">
        <f t="shared" si="57"/>
        <v>38</v>
      </c>
      <c r="G129" s="23">
        <f t="shared" si="58"/>
        <v>36.86</v>
      </c>
      <c r="H129" s="24">
        <f t="shared" si="58"/>
        <v>36.1</v>
      </c>
      <c r="I129" s="25">
        <f t="shared" si="58"/>
        <v>35.72</v>
      </c>
      <c r="K129" s="76">
        <v>53</v>
      </c>
      <c r="L129" s="99">
        <v>55</v>
      </c>
      <c r="M129" s="76">
        <v>37</v>
      </c>
      <c r="N129" s="99">
        <v>38</v>
      </c>
      <c r="O129" s="88"/>
      <c r="P129" s="97" t="s">
        <v>345</v>
      </c>
      <c r="Q129" s="95">
        <v>17.850000000000001</v>
      </c>
      <c r="R129" s="95"/>
      <c r="S129" s="95"/>
      <c r="T129" s="95">
        <f t="shared" si="34"/>
        <v>17.850000000000001</v>
      </c>
      <c r="U129" s="95"/>
      <c r="V129" s="95">
        <f t="shared" si="35"/>
        <v>17.850000000000001</v>
      </c>
      <c r="W129" s="95">
        <v>0.7</v>
      </c>
      <c r="X129" s="95">
        <v>0.45</v>
      </c>
    </row>
    <row r="130" spans="1:24" x14ac:dyDescent="0.2">
      <c r="B130" s="116"/>
      <c r="C130" s="6" t="s">
        <v>118</v>
      </c>
      <c r="D130" s="12" t="s">
        <v>192</v>
      </c>
      <c r="E130" s="34">
        <f t="shared" si="56"/>
        <v>55</v>
      </c>
      <c r="F130" s="35">
        <f t="shared" si="57"/>
        <v>38</v>
      </c>
      <c r="G130" s="23">
        <f t="shared" si="58"/>
        <v>36.86</v>
      </c>
      <c r="H130" s="24">
        <f t="shared" si="58"/>
        <v>36.1</v>
      </c>
      <c r="I130" s="25">
        <f t="shared" si="58"/>
        <v>35.72</v>
      </c>
      <c r="K130" s="76">
        <v>53</v>
      </c>
      <c r="L130" s="99">
        <v>55</v>
      </c>
      <c r="M130" s="76">
        <v>37</v>
      </c>
      <c r="N130" s="99">
        <v>38</v>
      </c>
      <c r="O130" s="88"/>
      <c r="P130" s="97" t="s">
        <v>345</v>
      </c>
      <c r="Q130" s="95">
        <v>18</v>
      </c>
      <c r="R130" s="95"/>
      <c r="S130" s="95"/>
      <c r="T130" s="95">
        <f t="shared" si="34"/>
        <v>18</v>
      </c>
      <c r="U130" s="95"/>
      <c r="V130" s="95">
        <f t="shared" si="35"/>
        <v>18</v>
      </c>
      <c r="W130" s="95">
        <v>0.66</v>
      </c>
      <c r="X130" s="95">
        <v>0.44</v>
      </c>
    </row>
    <row r="131" spans="1:24" x14ac:dyDescent="0.2">
      <c r="B131" s="116"/>
      <c r="C131" s="6" t="s">
        <v>119</v>
      </c>
      <c r="D131" s="12" t="s">
        <v>192</v>
      </c>
      <c r="E131" s="34">
        <f t="shared" si="56"/>
        <v>55</v>
      </c>
      <c r="F131" s="35">
        <f t="shared" si="57"/>
        <v>38</v>
      </c>
      <c r="G131" s="23">
        <f t="shared" si="58"/>
        <v>36.86</v>
      </c>
      <c r="H131" s="24">
        <f t="shared" si="58"/>
        <v>36.1</v>
      </c>
      <c r="I131" s="25">
        <f t="shared" si="58"/>
        <v>35.72</v>
      </c>
      <c r="K131" s="76">
        <v>53</v>
      </c>
      <c r="L131" s="99">
        <v>55</v>
      </c>
      <c r="M131" s="76">
        <v>37</v>
      </c>
      <c r="N131" s="99">
        <v>38</v>
      </c>
      <c r="O131" s="88"/>
      <c r="P131" s="97" t="s">
        <v>345</v>
      </c>
      <c r="Q131" s="95">
        <v>18</v>
      </c>
      <c r="R131" s="95"/>
      <c r="S131" s="95"/>
      <c r="T131" s="95">
        <f t="shared" si="34"/>
        <v>18</v>
      </c>
      <c r="U131" s="95"/>
      <c r="V131" s="95">
        <f t="shared" si="35"/>
        <v>18</v>
      </c>
      <c r="W131" s="95">
        <v>0.66</v>
      </c>
      <c r="X131" s="95">
        <v>0.44</v>
      </c>
    </row>
    <row r="132" spans="1:24" x14ac:dyDescent="0.2">
      <c r="B132" s="116"/>
      <c r="C132" s="6" t="s">
        <v>212</v>
      </c>
      <c r="D132" s="12" t="s">
        <v>192</v>
      </c>
      <c r="E132" s="34">
        <f t="shared" si="56"/>
        <v>72</v>
      </c>
      <c r="F132" s="35">
        <f t="shared" si="57"/>
        <v>53</v>
      </c>
      <c r="G132" s="23">
        <f t="shared" si="58"/>
        <v>51.41</v>
      </c>
      <c r="H132" s="24">
        <f t="shared" si="58"/>
        <v>50.349999999999994</v>
      </c>
      <c r="I132" s="25">
        <f t="shared" si="58"/>
        <v>49.82</v>
      </c>
      <c r="K132" s="76">
        <v>69</v>
      </c>
      <c r="L132" s="99">
        <v>72</v>
      </c>
      <c r="M132" s="76">
        <v>50</v>
      </c>
      <c r="N132" s="99">
        <v>53</v>
      </c>
      <c r="O132" s="88"/>
      <c r="P132" s="97" t="s">
        <v>346</v>
      </c>
      <c r="Q132" s="95">
        <v>26.75</v>
      </c>
      <c r="R132" s="95"/>
      <c r="S132" s="95"/>
      <c r="T132" s="95">
        <f t="shared" si="34"/>
        <v>26.75</v>
      </c>
      <c r="U132" s="95"/>
      <c r="V132" s="95">
        <f t="shared" si="35"/>
        <v>26.75</v>
      </c>
      <c r="W132" s="95">
        <v>0.62</v>
      </c>
      <c r="X132" s="95">
        <v>0.39</v>
      </c>
    </row>
    <row r="133" spans="1:24" x14ac:dyDescent="0.2">
      <c r="B133" s="116"/>
      <c r="C133" s="6" t="s">
        <v>120</v>
      </c>
      <c r="D133" s="12" t="s">
        <v>192</v>
      </c>
      <c r="E133" s="34">
        <f t="shared" si="56"/>
        <v>75</v>
      </c>
      <c r="F133" s="35">
        <f t="shared" si="57"/>
        <v>53</v>
      </c>
      <c r="G133" s="23">
        <f t="shared" si="58"/>
        <v>51.41</v>
      </c>
      <c r="H133" s="24">
        <f t="shared" si="58"/>
        <v>50.349999999999994</v>
      </c>
      <c r="I133" s="25">
        <f t="shared" si="58"/>
        <v>49.82</v>
      </c>
      <c r="K133" s="76">
        <v>74</v>
      </c>
      <c r="L133" s="99">
        <v>75</v>
      </c>
      <c r="M133" s="76">
        <v>53</v>
      </c>
      <c r="N133" s="99">
        <v>53</v>
      </c>
      <c r="O133" s="88"/>
      <c r="P133" s="97" t="s">
        <v>346</v>
      </c>
      <c r="Q133" s="95">
        <v>26</v>
      </c>
      <c r="R133" s="95"/>
      <c r="S133" s="95"/>
      <c r="T133" s="95">
        <f t="shared" si="34"/>
        <v>26</v>
      </c>
      <c r="U133" s="95"/>
      <c r="V133" s="95">
        <f t="shared" si="35"/>
        <v>26</v>
      </c>
      <c r="W133" s="95">
        <v>0.65</v>
      </c>
      <c r="X133" s="95">
        <v>0.4</v>
      </c>
    </row>
    <row r="134" spans="1:24" x14ac:dyDescent="0.2">
      <c r="A134" s="60"/>
      <c r="B134" s="117"/>
      <c r="C134" s="7" t="s">
        <v>121</v>
      </c>
      <c r="D134" s="13" t="s">
        <v>192</v>
      </c>
      <c r="E134" s="34">
        <f t="shared" si="56"/>
        <v>75</v>
      </c>
      <c r="F134" s="35">
        <f t="shared" si="57"/>
        <v>54</v>
      </c>
      <c r="G134" s="23">
        <f t="shared" si="58"/>
        <v>52.379999999999995</v>
      </c>
      <c r="H134" s="24">
        <f t="shared" si="58"/>
        <v>51.3</v>
      </c>
      <c r="I134" s="25">
        <f t="shared" si="58"/>
        <v>50.76</v>
      </c>
      <c r="K134" s="77">
        <v>75</v>
      </c>
      <c r="L134" s="99">
        <v>75</v>
      </c>
      <c r="M134" s="77">
        <v>54</v>
      </c>
      <c r="N134" s="99">
        <v>54</v>
      </c>
      <c r="O134" s="88"/>
      <c r="P134" s="97" t="s">
        <v>346</v>
      </c>
      <c r="Q134" s="95">
        <v>26.5</v>
      </c>
      <c r="R134" s="95"/>
      <c r="S134" s="95"/>
      <c r="T134" s="95">
        <f t="shared" si="34"/>
        <v>26.5</v>
      </c>
      <c r="U134" s="95"/>
      <c r="V134" s="95">
        <f t="shared" si="35"/>
        <v>26.5</v>
      </c>
      <c r="W134" s="95">
        <v>0.65</v>
      </c>
      <c r="X134" s="95">
        <v>0.39</v>
      </c>
    </row>
    <row r="135" spans="1:24" x14ac:dyDescent="0.2">
      <c r="A135" s="20"/>
      <c r="B135" s="20"/>
      <c r="C135" s="2" t="s">
        <v>122</v>
      </c>
      <c r="D135" s="14"/>
      <c r="E135" s="48"/>
      <c r="F135" s="48"/>
      <c r="G135" s="48"/>
      <c r="H135" s="48"/>
      <c r="I135" s="48"/>
      <c r="K135" s="78"/>
      <c r="L135" s="76"/>
      <c r="M135" s="78"/>
      <c r="N135" s="76"/>
      <c r="O135" s="88"/>
      <c r="T135" s="1">
        <f t="shared" si="34"/>
        <v>0</v>
      </c>
      <c r="V135" s="1">
        <f t="shared" si="35"/>
        <v>0</v>
      </c>
    </row>
    <row r="136" spans="1:24" x14ac:dyDescent="0.2">
      <c r="A136" s="61"/>
      <c r="B136" s="118"/>
      <c r="C136" s="8" t="s">
        <v>123</v>
      </c>
      <c r="D136" s="15" t="s">
        <v>188</v>
      </c>
      <c r="E136" s="34">
        <f t="shared" ref="E136:E150" si="59">L136</f>
        <v>49</v>
      </c>
      <c r="F136" s="35">
        <f t="shared" ref="F136:F150" si="60">N136</f>
        <v>34</v>
      </c>
      <c r="G136" s="23">
        <f t="shared" ref="G136:I149" si="61">$F136*(1-G$1)</f>
        <v>32.979999999999997</v>
      </c>
      <c r="H136" s="24">
        <f t="shared" si="61"/>
        <v>32.299999999999997</v>
      </c>
      <c r="I136" s="25">
        <f t="shared" si="61"/>
        <v>31.959999999999997</v>
      </c>
      <c r="K136" s="79">
        <v>52</v>
      </c>
      <c r="L136" s="99">
        <f t="shared" si="36"/>
        <v>49</v>
      </c>
      <c r="M136" s="79">
        <v>40</v>
      </c>
      <c r="N136" s="99">
        <f t="shared" si="37"/>
        <v>34</v>
      </c>
      <c r="O136" s="88"/>
      <c r="P136" s="97" t="s">
        <v>327</v>
      </c>
      <c r="Q136" s="96">
        <v>18</v>
      </c>
      <c r="R136" s="96">
        <f>15/50</f>
        <v>0.3</v>
      </c>
      <c r="S136" s="95"/>
      <c r="T136" s="95">
        <f t="shared" si="34"/>
        <v>18.3</v>
      </c>
      <c r="U136" s="95">
        <v>0.05</v>
      </c>
      <c r="V136" s="95">
        <f t="shared" si="35"/>
        <v>19.215</v>
      </c>
      <c r="W136" s="95">
        <v>0.7</v>
      </c>
      <c r="X136" s="95">
        <v>0.45</v>
      </c>
    </row>
    <row r="137" spans="1:24" x14ac:dyDescent="0.2">
      <c r="B137" s="116"/>
      <c r="C137" s="6" t="s">
        <v>124</v>
      </c>
      <c r="D137" s="12" t="s">
        <v>188</v>
      </c>
      <c r="E137" s="34">
        <f t="shared" si="59"/>
        <v>400</v>
      </c>
      <c r="F137" s="35">
        <f t="shared" si="60"/>
        <v>295</v>
      </c>
      <c r="G137" s="23">
        <f t="shared" si="61"/>
        <v>286.14999999999998</v>
      </c>
      <c r="H137" s="24">
        <f t="shared" si="61"/>
        <v>280.25</v>
      </c>
      <c r="I137" s="25">
        <f t="shared" si="61"/>
        <v>277.3</v>
      </c>
      <c r="K137" s="99">
        <v>400</v>
      </c>
      <c r="L137" s="76">
        <f t="shared" si="36"/>
        <v>400</v>
      </c>
      <c r="M137" s="99">
        <v>295</v>
      </c>
      <c r="N137" s="76">
        <f t="shared" si="37"/>
        <v>295</v>
      </c>
      <c r="O137" s="88"/>
      <c r="P137" s="97" t="s">
        <v>324</v>
      </c>
      <c r="Q137" s="96">
        <v>200</v>
      </c>
      <c r="R137" s="96"/>
      <c r="S137" s="95"/>
      <c r="T137" s="95">
        <f t="shared" ref="T137:T200" si="62">SUM(Q137:S137)</f>
        <v>200</v>
      </c>
      <c r="U137" s="95"/>
      <c r="V137" s="95">
        <f t="shared" ref="V137:V200" si="63">+T137*(1+U137)</f>
        <v>200</v>
      </c>
      <c r="W137" s="95">
        <v>0.432</v>
      </c>
      <c r="X137" s="95">
        <v>0.35499999999999998</v>
      </c>
    </row>
    <row r="138" spans="1:24" x14ac:dyDescent="0.2">
      <c r="B138" s="116"/>
      <c r="C138" s="6" t="s">
        <v>125</v>
      </c>
      <c r="D138" s="12" t="s">
        <v>188</v>
      </c>
      <c r="E138" s="34">
        <f t="shared" si="59"/>
        <v>32</v>
      </c>
      <c r="F138" s="35">
        <f t="shared" si="60"/>
        <v>24</v>
      </c>
      <c r="G138" s="23">
        <f t="shared" si="61"/>
        <v>23.28</v>
      </c>
      <c r="H138" s="24">
        <f t="shared" si="61"/>
        <v>22.799999999999997</v>
      </c>
      <c r="I138" s="25">
        <f t="shared" si="61"/>
        <v>22.56</v>
      </c>
      <c r="K138" s="99">
        <v>32</v>
      </c>
      <c r="L138" s="76">
        <f t="shared" ref="L138:L195" si="64">ROUND(+V138*(1+W138)*(1+X138)*(1+$Q$1),0)</f>
        <v>32</v>
      </c>
      <c r="M138" s="99">
        <v>24</v>
      </c>
      <c r="N138" s="76">
        <f t="shared" ref="N138:N195" si="65">ROUND(+V138*(1+W138)*(1+$Q$1),0)</f>
        <v>24</v>
      </c>
      <c r="O138" s="88"/>
      <c r="P138" s="97" t="s">
        <v>324</v>
      </c>
      <c r="Q138" s="96">
        <f>200/12</f>
        <v>16.666666666666668</v>
      </c>
      <c r="R138" s="96"/>
      <c r="S138" s="95"/>
      <c r="T138" s="95">
        <f t="shared" si="62"/>
        <v>16.666666666666668</v>
      </c>
      <c r="U138" s="95"/>
      <c r="V138" s="95">
        <f t="shared" si="63"/>
        <v>16.666666666666668</v>
      </c>
      <c r="W138" s="95">
        <v>0.4</v>
      </c>
      <c r="X138" s="95">
        <v>0.33500000000000002</v>
      </c>
    </row>
    <row r="139" spans="1:24" x14ac:dyDescent="0.2">
      <c r="B139" s="131"/>
      <c r="C139" s="6" t="s">
        <v>126</v>
      </c>
      <c r="D139" s="12" t="s">
        <v>193</v>
      </c>
      <c r="E139" s="34">
        <f t="shared" ref="E139:E144" si="66">+L139</f>
        <v>30</v>
      </c>
      <c r="F139" s="35">
        <f t="shared" ref="F139:F144" si="67">+N139</f>
        <v>21</v>
      </c>
      <c r="G139" s="23">
        <f t="shared" si="61"/>
        <v>20.37</v>
      </c>
      <c r="H139" s="24">
        <f t="shared" si="61"/>
        <v>19.95</v>
      </c>
      <c r="I139" s="25">
        <f t="shared" si="61"/>
        <v>19.739999999999998</v>
      </c>
      <c r="K139" s="76">
        <v>33</v>
      </c>
      <c r="L139" s="99">
        <f t="shared" si="64"/>
        <v>30</v>
      </c>
      <c r="M139" s="76">
        <v>25</v>
      </c>
      <c r="N139" s="99">
        <f t="shared" si="65"/>
        <v>21</v>
      </c>
      <c r="O139" s="88"/>
      <c r="P139" s="97" t="s">
        <v>335</v>
      </c>
      <c r="Q139" s="96">
        <v>12.79</v>
      </c>
      <c r="R139" s="95"/>
      <c r="S139" s="95"/>
      <c r="T139" s="95">
        <f t="shared" si="62"/>
        <v>12.79</v>
      </c>
      <c r="U139" s="95"/>
      <c r="V139" s="95">
        <f t="shared" si="63"/>
        <v>12.79</v>
      </c>
      <c r="W139" s="95">
        <v>0.6</v>
      </c>
      <c r="X139" s="95">
        <v>0.4</v>
      </c>
    </row>
    <row r="140" spans="1:24" x14ac:dyDescent="0.2">
      <c r="B140" s="131"/>
      <c r="C140" s="6" t="s">
        <v>127</v>
      </c>
      <c r="D140" s="12" t="s">
        <v>193</v>
      </c>
      <c r="E140" s="34">
        <f t="shared" si="66"/>
        <v>175</v>
      </c>
      <c r="F140" s="35">
        <f t="shared" si="67"/>
        <v>125</v>
      </c>
      <c r="G140" s="23">
        <f t="shared" si="61"/>
        <v>121.25</v>
      </c>
      <c r="H140" s="24">
        <f t="shared" si="61"/>
        <v>118.75</v>
      </c>
      <c r="I140" s="25">
        <f t="shared" si="61"/>
        <v>117.5</v>
      </c>
      <c r="K140" s="76">
        <v>163</v>
      </c>
      <c r="L140" s="99">
        <f t="shared" si="64"/>
        <v>175</v>
      </c>
      <c r="M140" s="76">
        <v>130</v>
      </c>
      <c r="N140" s="99">
        <f t="shared" si="65"/>
        <v>125</v>
      </c>
      <c r="O140" s="88"/>
      <c r="P140" s="97" t="s">
        <v>335</v>
      </c>
      <c r="Q140" s="96">
        <v>75.66</v>
      </c>
      <c r="R140" s="95"/>
      <c r="S140" s="95"/>
      <c r="T140" s="95">
        <f t="shared" si="62"/>
        <v>75.66</v>
      </c>
      <c r="U140" s="95"/>
      <c r="V140" s="95">
        <f t="shared" si="63"/>
        <v>75.66</v>
      </c>
      <c r="W140" s="95">
        <v>0.6</v>
      </c>
      <c r="X140" s="95">
        <v>0.4</v>
      </c>
    </row>
    <row r="141" spans="1:24" x14ac:dyDescent="0.2">
      <c r="B141" s="131"/>
      <c r="C141" s="6" t="s">
        <v>128</v>
      </c>
      <c r="D141" s="12" t="s">
        <v>193</v>
      </c>
      <c r="E141" s="34">
        <f t="shared" si="66"/>
        <v>251</v>
      </c>
      <c r="F141" s="35">
        <f t="shared" si="67"/>
        <v>179</v>
      </c>
      <c r="G141" s="23">
        <f t="shared" si="61"/>
        <v>173.63</v>
      </c>
      <c r="H141" s="24">
        <f t="shared" si="61"/>
        <v>170.04999999999998</v>
      </c>
      <c r="I141" s="25">
        <f t="shared" si="61"/>
        <v>168.26</v>
      </c>
      <c r="K141" s="76">
        <v>217</v>
      </c>
      <c r="L141" s="99">
        <f t="shared" si="64"/>
        <v>251</v>
      </c>
      <c r="M141" s="76">
        <v>173</v>
      </c>
      <c r="N141" s="99">
        <f t="shared" si="65"/>
        <v>179</v>
      </c>
      <c r="O141" s="88"/>
      <c r="P141" s="97" t="s">
        <v>335</v>
      </c>
      <c r="Q141" s="96">
        <v>108.62</v>
      </c>
      <c r="R141" s="95"/>
      <c r="S141" s="95"/>
      <c r="T141" s="95">
        <f t="shared" si="62"/>
        <v>108.62</v>
      </c>
      <c r="U141" s="95"/>
      <c r="V141" s="95">
        <f t="shared" si="63"/>
        <v>108.62</v>
      </c>
      <c r="W141" s="95">
        <v>0.6</v>
      </c>
      <c r="X141" s="95">
        <v>0.4</v>
      </c>
    </row>
    <row r="142" spans="1:24" x14ac:dyDescent="0.2">
      <c r="B142" s="131"/>
      <c r="C142" s="6" t="s">
        <v>129</v>
      </c>
      <c r="D142" s="12" t="s">
        <v>193</v>
      </c>
      <c r="E142" s="34">
        <f t="shared" si="66"/>
        <v>198</v>
      </c>
      <c r="F142" s="35">
        <f t="shared" si="67"/>
        <v>141</v>
      </c>
      <c r="G142" s="23">
        <f t="shared" si="61"/>
        <v>136.77000000000001</v>
      </c>
      <c r="H142" s="24">
        <f t="shared" si="61"/>
        <v>133.94999999999999</v>
      </c>
      <c r="I142" s="25">
        <f t="shared" si="61"/>
        <v>132.54</v>
      </c>
      <c r="K142" s="76">
        <v>193</v>
      </c>
      <c r="L142" s="99">
        <f t="shared" si="64"/>
        <v>198</v>
      </c>
      <c r="M142" s="76">
        <v>154</v>
      </c>
      <c r="N142" s="99">
        <f t="shared" si="65"/>
        <v>141</v>
      </c>
      <c r="O142" s="88"/>
      <c r="P142" s="97" t="s">
        <v>335</v>
      </c>
      <c r="Q142" s="96">
        <v>85.66</v>
      </c>
      <c r="R142" s="95"/>
      <c r="S142" s="95"/>
      <c r="T142" s="95">
        <f t="shared" si="62"/>
        <v>85.66</v>
      </c>
      <c r="U142" s="95"/>
      <c r="V142" s="95">
        <f t="shared" si="63"/>
        <v>85.66</v>
      </c>
      <c r="W142" s="95">
        <v>0.6</v>
      </c>
      <c r="X142" s="95">
        <v>0.4</v>
      </c>
    </row>
    <row r="143" spans="1:24" x14ac:dyDescent="0.2">
      <c r="B143" s="131"/>
      <c r="C143" s="6" t="s">
        <v>130</v>
      </c>
      <c r="D143" s="12" t="s">
        <v>193</v>
      </c>
      <c r="E143" s="34">
        <f t="shared" si="66"/>
        <v>281</v>
      </c>
      <c r="F143" s="35">
        <f t="shared" si="67"/>
        <v>201</v>
      </c>
      <c r="G143" s="23">
        <f t="shared" si="61"/>
        <v>194.97</v>
      </c>
      <c r="H143" s="24">
        <f t="shared" si="61"/>
        <v>190.95</v>
      </c>
      <c r="I143" s="25">
        <f t="shared" si="61"/>
        <v>188.94</v>
      </c>
      <c r="K143" s="76">
        <v>273</v>
      </c>
      <c r="L143" s="99">
        <f t="shared" si="64"/>
        <v>281</v>
      </c>
      <c r="M143" s="76">
        <v>218</v>
      </c>
      <c r="N143" s="99">
        <f t="shared" si="65"/>
        <v>201</v>
      </c>
      <c r="O143" s="88"/>
      <c r="P143" s="97" t="s">
        <v>335</v>
      </c>
      <c r="Q143" s="96">
        <v>121.92</v>
      </c>
      <c r="R143" s="95"/>
      <c r="S143" s="95"/>
      <c r="T143" s="95">
        <f t="shared" si="62"/>
        <v>121.92</v>
      </c>
      <c r="U143" s="95"/>
      <c r="V143" s="95">
        <f t="shared" si="63"/>
        <v>121.92</v>
      </c>
      <c r="W143" s="95">
        <v>0.6</v>
      </c>
      <c r="X143" s="95">
        <v>0.4</v>
      </c>
    </row>
    <row r="144" spans="1:24" x14ac:dyDescent="0.2">
      <c r="B144" s="131"/>
      <c r="C144" s="6" t="s">
        <v>131</v>
      </c>
      <c r="D144" s="12" t="s">
        <v>193</v>
      </c>
      <c r="E144" s="34">
        <f t="shared" si="66"/>
        <v>143</v>
      </c>
      <c r="F144" s="35">
        <f t="shared" si="67"/>
        <v>102</v>
      </c>
      <c r="G144" s="23">
        <f t="shared" si="61"/>
        <v>98.94</v>
      </c>
      <c r="H144" s="24">
        <f t="shared" si="61"/>
        <v>96.899999999999991</v>
      </c>
      <c r="I144" s="25">
        <f t="shared" si="61"/>
        <v>95.88</v>
      </c>
      <c r="K144" s="76">
        <v>151</v>
      </c>
      <c r="L144" s="99">
        <f t="shared" si="64"/>
        <v>143</v>
      </c>
      <c r="M144" s="76">
        <v>100</v>
      </c>
      <c r="N144" s="99">
        <f t="shared" si="65"/>
        <v>102</v>
      </c>
      <c r="O144" s="88"/>
      <c r="P144" s="97" t="s">
        <v>335</v>
      </c>
      <c r="Q144" s="96">
        <v>61.94</v>
      </c>
      <c r="R144" s="95"/>
      <c r="S144" s="95"/>
      <c r="T144" s="95">
        <f t="shared" si="62"/>
        <v>61.94</v>
      </c>
      <c r="U144" s="95"/>
      <c r="V144" s="95">
        <f t="shared" si="63"/>
        <v>61.94</v>
      </c>
      <c r="W144" s="95">
        <v>0.6</v>
      </c>
      <c r="X144" s="95">
        <v>0.4</v>
      </c>
    </row>
    <row r="145" spans="1:24" x14ac:dyDescent="0.2">
      <c r="B145" s="131"/>
      <c r="C145" s="6" t="s">
        <v>132</v>
      </c>
      <c r="D145" s="12" t="s">
        <v>193</v>
      </c>
      <c r="E145" s="34">
        <f t="shared" ref="E145" si="68">+K145</f>
        <v>38</v>
      </c>
      <c r="F145" s="35">
        <f t="shared" ref="F145" si="69">+M145</f>
        <v>25</v>
      </c>
      <c r="G145" s="23">
        <f t="shared" si="61"/>
        <v>24.25</v>
      </c>
      <c r="H145" s="24">
        <f t="shared" si="61"/>
        <v>23.75</v>
      </c>
      <c r="I145" s="25">
        <f t="shared" si="61"/>
        <v>23.5</v>
      </c>
      <c r="K145" s="99">
        <v>38</v>
      </c>
      <c r="L145" s="76">
        <f t="shared" si="64"/>
        <v>38</v>
      </c>
      <c r="M145" s="99">
        <v>25</v>
      </c>
      <c r="N145" s="76">
        <f t="shared" si="65"/>
        <v>25</v>
      </c>
      <c r="O145" s="88"/>
      <c r="P145" s="97" t="s">
        <v>335</v>
      </c>
      <c r="Q145" s="96">
        <v>13.71</v>
      </c>
      <c r="R145" s="95"/>
      <c r="S145" s="95"/>
      <c r="T145" s="95">
        <f t="shared" si="62"/>
        <v>13.71</v>
      </c>
      <c r="U145" s="95"/>
      <c r="V145" s="95">
        <f t="shared" si="63"/>
        <v>13.71</v>
      </c>
      <c r="W145" s="95">
        <v>0.75</v>
      </c>
      <c r="X145" s="95">
        <v>0.52</v>
      </c>
    </row>
    <row r="146" spans="1:24" x14ac:dyDescent="0.2">
      <c r="B146" s="131"/>
      <c r="C146" s="6" t="s">
        <v>133</v>
      </c>
      <c r="D146" s="12" t="s">
        <v>193</v>
      </c>
      <c r="E146" s="34">
        <f>+L146</f>
        <v>425</v>
      </c>
      <c r="F146" s="35">
        <f>+N146</f>
        <v>283</v>
      </c>
      <c r="G146" s="23">
        <f t="shared" si="61"/>
        <v>274.51</v>
      </c>
      <c r="H146" s="24">
        <f t="shared" si="61"/>
        <v>268.84999999999997</v>
      </c>
      <c r="I146" s="25">
        <f t="shared" si="61"/>
        <v>266.02</v>
      </c>
      <c r="K146" s="76">
        <v>455</v>
      </c>
      <c r="L146" s="99">
        <f t="shared" si="64"/>
        <v>425</v>
      </c>
      <c r="M146" s="76">
        <v>303</v>
      </c>
      <c r="N146" s="99">
        <f t="shared" si="65"/>
        <v>283</v>
      </c>
      <c r="O146" s="88"/>
      <c r="P146" s="97" t="s">
        <v>335</v>
      </c>
      <c r="Q146" s="96">
        <v>249.88</v>
      </c>
      <c r="R146" s="95"/>
      <c r="S146" s="95"/>
      <c r="T146" s="95">
        <f t="shared" si="62"/>
        <v>249.88</v>
      </c>
      <c r="U146" s="95"/>
      <c r="V146" s="95">
        <f t="shared" si="63"/>
        <v>249.88</v>
      </c>
      <c r="W146" s="95">
        <v>0.1</v>
      </c>
      <c r="X146" s="95">
        <v>0.5</v>
      </c>
    </row>
    <row r="147" spans="1:24" x14ac:dyDescent="0.2">
      <c r="B147" s="150"/>
      <c r="C147" s="6" t="s">
        <v>134</v>
      </c>
      <c r="D147" s="12" t="s">
        <v>194</v>
      </c>
      <c r="E147" s="34">
        <f t="shared" si="59"/>
        <v>79</v>
      </c>
      <c r="F147" s="35">
        <f t="shared" si="60"/>
        <v>60</v>
      </c>
      <c r="G147" s="23">
        <f t="shared" si="61"/>
        <v>58.199999999999996</v>
      </c>
      <c r="H147" s="24">
        <f t="shared" si="61"/>
        <v>57</v>
      </c>
      <c r="I147" s="25">
        <f t="shared" si="61"/>
        <v>56.4</v>
      </c>
      <c r="K147" s="99">
        <v>79</v>
      </c>
      <c r="L147" s="76">
        <f t="shared" si="64"/>
        <v>79</v>
      </c>
      <c r="M147" s="99">
        <v>60</v>
      </c>
      <c r="N147" s="76">
        <f t="shared" si="65"/>
        <v>60</v>
      </c>
      <c r="O147" s="88"/>
      <c r="P147" s="97" t="s">
        <v>326</v>
      </c>
      <c r="Q147" s="96">
        <v>39</v>
      </c>
      <c r="R147" s="95"/>
      <c r="S147" s="95"/>
      <c r="T147" s="95">
        <f t="shared" si="62"/>
        <v>39</v>
      </c>
      <c r="U147" s="95"/>
      <c r="V147" s="95">
        <f t="shared" si="63"/>
        <v>39</v>
      </c>
      <c r="W147" s="95">
        <v>0.5</v>
      </c>
      <c r="X147" s="95">
        <v>0.31</v>
      </c>
    </row>
    <row r="148" spans="1:24" x14ac:dyDescent="0.2">
      <c r="B148" s="116"/>
      <c r="C148" s="6" t="s">
        <v>135</v>
      </c>
      <c r="D148" s="12" t="s">
        <v>195</v>
      </c>
      <c r="E148" s="34">
        <f>+L148</f>
        <v>5</v>
      </c>
      <c r="F148" s="35">
        <f>+N148</f>
        <v>4</v>
      </c>
      <c r="G148" s="23">
        <f t="shared" si="61"/>
        <v>3.88</v>
      </c>
      <c r="H148" s="24">
        <f t="shared" si="61"/>
        <v>3.8</v>
      </c>
      <c r="I148" s="25">
        <f t="shared" si="61"/>
        <v>3.76</v>
      </c>
      <c r="K148" s="76">
        <v>6</v>
      </c>
      <c r="L148" s="99">
        <v>5</v>
      </c>
      <c r="M148" s="76">
        <v>5</v>
      </c>
      <c r="N148" s="99">
        <v>4</v>
      </c>
      <c r="O148" s="88"/>
      <c r="P148" s="97"/>
      <c r="Q148" s="96"/>
      <c r="R148" s="95"/>
      <c r="S148" s="95"/>
      <c r="T148" s="95">
        <f t="shared" si="62"/>
        <v>0</v>
      </c>
      <c r="U148" s="95"/>
      <c r="V148" s="95">
        <f t="shared" si="63"/>
        <v>0</v>
      </c>
      <c r="W148" s="95"/>
      <c r="X148" s="95"/>
    </row>
    <row r="149" spans="1:24" x14ac:dyDescent="0.2">
      <c r="A149" s="60"/>
      <c r="B149" s="131"/>
      <c r="C149" s="69" t="s">
        <v>136</v>
      </c>
      <c r="D149" s="12" t="s">
        <v>194</v>
      </c>
      <c r="E149" s="34">
        <f>+L149</f>
        <v>96</v>
      </c>
      <c r="F149" s="35">
        <f>+N149</f>
        <v>74</v>
      </c>
      <c r="G149" s="23">
        <f t="shared" si="61"/>
        <v>71.78</v>
      </c>
      <c r="H149" s="24">
        <f t="shared" si="61"/>
        <v>70.3</v>
      </c>
      <c r="I149" s="25">
        <f t="shared" si="61"/>
        <v>69.56</v>
      </c>
      <c r="K149" s="76">
        <v>109</v>
      </c>
      <c r="L149" s="99">
        <f t="shared" si="64"/>
        <v>96</v>
      </c>
      <c r="M149" s="76">
        <v>87</v>
      </c>
      <c r="N149" s="99">
        <f t="shared" si="65"/>
        <v>74</v>
      </c>
      <c r="O149" s="88"/>
      <c r="P149" s="97" t="s">
        <v>326</v>
      </c>
      <c r="Q149" s="96">
        <v>48</v>
      </c>
      <c r="R149" s="95"/>
      <c r="S149" s="95"/>
      <c r="T149" s="95">
        <f t="shared" si="62"/>
        <v>48</v>
      </c>
      <c r="U149" s="95"/>
      <c r="V149" s="95">
        <f t="shared" si="63"/>
        <v>48</v>
      </c>
      <c r="W149" s="95">
        <v>0.5</v>
      </c>
      <c r="X149" s="95">
        <v>0.3</v>
      </c>
    </row>
    <row r="150" spans="1:24" x14ac:dyDescent="0.2">
      <c r="A150" s="60"/>
      <c r="B150" s="60"/>
      <c r="C150" s="69" t="s">
        <v>154</v>
      </c>
      <c r="D150" s="12" t="s">
        <v>188</v>
      </c>
      <c r="E150" s="34">
        <f t="shared" si="59"/>
        <v>70</v>
      </c>
      <c r="F150" s="35">
        <f t="shared" si="60"/>
        <v>54</v>
      </c>
      <c r="G150" s="23">
        <f>$F150*(1-G$1)</f>
        <v>52.379999999999995</v>
      </c>
      <c r="H150" s="24">
        <f>$F150*(1-H$1)</f>
        <v>51.3</v>
      </c>
      <c r="I150" s="25">
        <f>$F150*(1-I$1)</f>
        <v>50.76</v>
      </c>
      <c r="K150" s="76">
        <v>89</v>
      </c>
      <c r="L150" s="99">
        <f t="shared" si="64"/>
        <v>70</v>
      </c>
      <c r="M150" s="76">
        <v>71</v>
      </c>
      <c r="N150" s="99">
        <f t="shared" si="65"/>
        <v>54</v>
      </c>
      <c r="O150" s="88"/>
      <c r="P150" s="97" t="s">
        <v>327</v>
      </c>
      <c r="Q150" s="96">
        <v>35</v>
      </c>
      <c r="R150" s="96"/>
      <c r="S150" s="95"/>
      <c r="T150" s="95">
        <f t="shared" si="62"/>
        <v>35</v>
      </c>
      <c r="U150" s="95"/>
      <c r="V150" s="95">
        <f t="shared" si="63"/>
        <v>35</v>
      </c>
      <c r="W150" s="95">
        <v>0.5</v>
      </c>
      <c r="X150" s="95">
        <v>0.3</v>
      </c>
    </row>
    <row r="151" spans="1:24" x14ac:dyDescent="0.2">
      <c r="A151" s="20"/>
      <c r="B151" s="20"/>
      <c r="C151" s="2" t="s">
        <v>137</v>
      </c>
      <c r="D151" s="14"/>
      <c r="E151" s="48"/>
      <c r="F151" s="48"/>
      <c r="G151" s="48"/>
      <c r="H151" s="48"/>
      <c r="I151" s="48"/>
      <c r="K151" s="78"/>
      <c r="L151" s="76"/>
      <c r="M151" s="78"/>
      <c r="N151" s="76"/>
      <c r="O151" s="88"/>
      <c r="T151" s="1">
        <f t="shared" si="62"/>
        <v>0</v>
      </c>
      <c r="V151" s="1">
        <f t="shared" si="63"/>
        <v>0</v>
      </c>
    </row>
    <row r="152" spans="1:24" x14ac:dyDescent="0.2">
      <c r="A152" s="61"/>
      <c r="B152" s="118"/>
      <c r="C152" s="8" t="s">
        <v>138</v>
      </c>
      <c r="D152" s="15" t="s">
        <v>188</v>
      </c>
      <c r="E152" s="34">
        <f t="shared" ref="E152:E172" si="70">L152</f>
        <v>24.84</v>
      </c>
      <c r="F152" s="35">
        <f t="shared" ref="F152:F172" si="71">N152</f>
        <v>20.7</v>
      </c>
      <c r="G152" s="23">
        <f t="shared" ref="G152:I167" si="72">$F152*(1-G$1)</f>
        <v>20.078999999999997</v>
      </c>
      <c r="H152" s="24">
        <f t="shared" si="72"/>
        <v>19.664999999999999</v>
      </c>
      <c r="I152" s="25">
        <f t="shared" si="72"/>
        <v>19.457999999999998</v>
      </c>
      <c r="K152" s="79">
        <v>27</v>
      </c>
      <c r="L152" s="99">
        <v>24.84</v>
      </c>
      <c r="M152" s="79">
        <v>20</v>
      </c>
      <c r="N152" s="99">
        <v>20.7</v>
      </c>
      <c r="O152" s="88"/>
      <c r="P152" s="97" t="s">
        <v>336</v>
      </c>
      <c r="Q152" s="96"/>
      <c r="R152" s="95"/>
      <c r="S152" s="95"/>
      <c r="T152" s="95">
        <f t="shared" si="62"/>
        <v>0</v>
      </c>
      <c r="U152" s="95"/>
      <c r="V152" s="95">
        <f t="shared" si="63"/>
        <v>0</v>
      </c>
      <c r="W152" s="95">
        <v>0.38</v>
      </c>
      <c r="X152" s="95">
        <v>0.31</v>
      </c>
    </row>
    <row r="153" spans="1:24" x14ac:dyDescent="0.2">
      <c r="B153" s="131"/>
      <c r="C153" s="8" t="s">
        <v>208</v>
      </c>
      <c r="D153" s="15" t="s">
        <v>193</v>
      </c>
      <c r="E153" s="34">
        <f>+K153</f>
        <v>328</v>
      </c>
      <c r="F153" s="35">
        <f>+M153</f>
        <v>247</v>
      </c>
      <c r="G153" s="23">
        <f t="shared" si="72"/>
        <v>239.59</v>
      </c>
      <c r="H153" s="24">
        <f t="shared" si="72"/>
        <v>234.64999999999998</v>
      </c>
      <c r="I153" s="25">
        <f t="shared" si="72"/>
        <v>232.17999999999998</v>
      </c>
      <c r="K153" s="101">
        <v>328</v>
      </c>
      <c r="L153" s="76">
        <f t="shared" si="64"/>
        <v>319</v>
      </c>
      <c r="M153" s="101">
        <v>247</v>
      </c>
      <c r="N153" s="76">
        <f t="shared" si="65"/>
        <v>241</v>
      </c>
      <c r="O153" s="88"/>
      <c r="P153" s="97" t="s">
        <v>335</v>
      </c>
      <c r="Q153" s="96">
        <v>169.78</v>
      </c>
      <c r="R153" s="95"/>
      <c r="S153" s="95"/>
      <c r="T153" s="95">
        <f t="shared" si="62"/>
        <v>169.78</v>
      </c>
      <c r="U153" s="95"/>
      <c r="V153" s="95">
        <f t="shared" si="63"/>
        <v>169.78</v>
      </c>
      <c r="W153" s="95">
        <v>0.377</v>
      </c>
      <c r="X153" s="95">
        <v>0.32500000000000001</v>
      </c>
    </row>
    <row r="154" spans="1:24" x14ac:dyDescent="0.2">
      <c r="B154" s="131"/>
      <c r="C154" s="6" t="s">
        <v>139</v>
      </c>
      <c r="D154" s="12" t="s">
        <v>188</v>
      </c>
      <c r="E154" s="34">
        <f>+L154</f>
        <v>14</v>
      </c>
      <c r="F154" s="35">
        <f>+N154</f>
        <v>10</v>
      </c>
      <c r="G154" s="23">
        <f t="shared" si="72"/>
        <v>9.6999999999999993</v>
      </c>
      <c r="H154" s="24">
        <f t="shared" si="72"/>
        <v>9.5</v>
      </c>
      <c r="I154" s="25">
        <f t="shared" si="72"/>
        <v>9.3999999999999986</v>
      </c>
      <c r="K154" s="79">
        <v>13</v>
      </c>
      <c r="L154" s="99">
        <f t="shared" si="64"/>
        <v>14</v>
      </c>
      <c r="M154" s="79">
        <v>10</v>
      </c>
      <c r="N154" s="99">
        <f t="shared" si="65"/>
        <v>10</v>
      </c>
      <c r="O154" s="88"/>
      <c r="P154" s="97" t="s">
        <v>335</v>
      </c>
      <c r="Q154" s="96">
        <v>6.04</v>
      </c>
      <c r="R154" s="95"/>
      <c r="S154" s="95"/>
      <c r="T154" s="95">
        <f t="shared" si="62"/>
        <v>6.04</v>
      </c>
      <c r="U154" s="95"/>
      <c r="V154" s="95">
        <f t="shared" si="63"/>
        <v>6.04</v>
      </c>
      <c r="W154" s="95">
        <v>0.68</v>
      </c>
      <c r="X154" s="95">
        <v>0.3</v>
      </c>
    </row>
    <row r="155" spans="1:24" x14ac:dyDescent="0.2">
      <c r="B155" s="116"/>
      <c r="C155" s="6" t="s">
        <v>140</v>
      </c>
      <c r="D155" s="12" t="s">
        <v>188</v>
      </c>
      <c r="E155" s="34">
        <f>+K155</f>
        <v>18</v>
      </c>
      <c r="F155" s="35">
        <f>+M155</f>
        <v>14</v>
      </c>
      <c r="G155" s="23">
        <f t="shared" si="72"/>
        <v>13.58</v>
      </c>
      <c r="H155" s="24">
        <f t="shared" si="72"/>
        <v>13.299999999999999</v>
      </c>
      <c r="I155" s="25">
        <f t="shared" si="72"/>
        <v>13.16</v>
      </c>
      <c r="K155" s="99">
        <v>18</v>
      </c>
      <c r="L155" s="76">
        <f t="shared" si="64"/>
        <v>0</v>
      </c>
      <c r="M155" s="99">
        <v>14</v>
      </c>
      <c r="N155" s="76">
        <f t="shared" si="65"/>
        <v>0</v>
      </c>
      <c r="O155" s="88"/>
      <c r="P155" s="97" t="s">
        <v>337</v>
      </c>
      <c r="Q155" s="96"/>
      <c r="R155" s="95"/>
      <c r="S155" s="95"/>
      <c r="T155" s="95">
        <f t="shared" si="62"/>
        <v>0</v>
      </c>
      <c r="U155" s="95"/>
      <c r="V155" s="95">
        <f t="shared" si="63"/>
        <v>0</v>
      </c>
      <c r="W155" s="95">
        <v>0.64</v>
      </c>
      <c r="X155" s="95">
        <v>0.25</v>
      </c>
    </row>
    <row r="156" spans="1:24" x14ac:dyDescent="0.2">
      <c r="B156" s="131"/>
      <c r="C156" s="6" t="s">
        <v>141</v>
      </c>
      <c r="D156" s="12" t="s">
        <v>194</v>
      </c>
      <c r="E156" s="34">
        <f>+L156</f>
        <v>102</v>
      </c>
      <c r="F156" s="35">
        <f>+N156</f>
        <v>70</v>
      </c>
      <c r="G156" s="23">
        <f t="shared" si="72"/>
        <v>67.899999999999991</v>
      </c>
      <c r="H156" s="24">
        <f t="shared" si="72"/>
        <v>66.5</v>
      </c>
      <c r="I156" s="25">
        <f t="shared" si="72"/>
        <v>65.8</v>
      </c>
      <c r="K156" s="76">
        <v>100</v>
      </c>
      <c r="L156" s="99">
        <f t="shared" si="64"/>
        <v>102</v>
      </c>
      <c r="M156" s="76">
        <v>69</v>
      </c>
      <c r="N156" s="99">
        <f t="shared" si="65"/>
        <v>70</v>
      </c>
      <c r="O156" s="88"/>
      <c r="P156" s="97" t="s">
        <v>335</v>
      </c>
      <c r="Q156" s="96">
        <v>46.75</v>
      </c>
      <c r="R156" s="95"/>
      <c r="S156" s="95"/>
      <c r="T156" s="95">
        <f t="shared" si="62"/>
        <v>46.75</v>
      </c>
      <c r="U156" s="95"/>
      <c r="V156" s="95">
        <f t="shared" si="63"/>
        <v>46.75</v>
      </c>
      <c r="W156" s="95">
        <v>0.45</v>
      </c>
      <c r="X156" s="95">
        <v>0.46</v>
      </c>
    </row>
    <row r="157" spans="1:24" x14ac:dyDescent="0.2">
      <c r="B157" s="116"/>
      <c r="C157" s="6" t="s">
        <v>142</v>
      </c>
      <c r="D157" s="12" t="s">
        <v>188</v>
      </c>
      <c r="E157" s="34">
        <f t="shared" si="70"/>
        <v>71.209999999999994</v>
      </c>
      <c r="F157" s="35">
        <f t="shared" si="71"/>
        <v>57.56</v>
      </c>
      <c r="G157" s="23">
        <f t="shared" si="72"/>
        <v>55.833199999999998</v>
      </c>
      <c r="H157" s="24">
        <f t="shared" si="72"/>
        <v>54.682000000000002</v>
      </c>
      <c r="I157" s="25">
        <f t="shared" si="72"/>
        <v>54.106400000000001</v>
      </c>
      <c r="K157" s="76">
        <v>73</v>
      </c>
      <c r="L157" s="99">
        <v>71.209999999999994</v>
      </c>
      <c r="M157" s="76">
        <v>58</v>
      </c>
      <c r="N157" s="99">
        <v>57.56</v>
      </c>
      <c r="O157" s="88"/>
      <c r="P157" s="97" t="s">
        <v>336</v>
      </c>
      <c r="Q157" s="96"/>
      <c r="R157" s="95"/>
      <c r="S157" s="95"/>
      <c r="T157" s="95">
        <f t="shared" si="62"/>
        <v>0</v>
      </c>
      <c r="U157" s="95"/>
      <c r="V157" s="95">
        <f t="shared" si="63"/>
        <v>0</v>
      </c>
      <c r="W157" s="95">
        <v>0.35499999999999998</v>
      </c>
      <c r="X157" s="95">
        <v>0.26500000000000001</v>
      </c>
    </row>
    <row r="158" spans="1:24" x14ac:dyDescent="0.2">
      <c r="B158" s="116"/>
      <c r="C158" s="6" t="s">
        <v>143</v>
      </c>
      <c r="D158" s="12" t="s">
        <v>188</v>
      </c>
      <c r="E158" s="34">
        <f t="shared" si="70"/>
        <v>49.73</v>
      </c>
      <c r="F158" s="35">
        <f t="shared" si="71"/>
        <v>41.44</v>
      </c>
      <c r="G158" s="23">
        <f t="shared" si="72"/>
        <v>40.196799999999996</v>
      </c>
      <c r="H158" s="24">
        <f t="shared" si="72"/>
        <v>39.367999999999995</v>
      </c>
      <c r="I158" s="25">
        <f t="shared" si="72"/>
        <v>38.953599999999994</v>
      </c>
      <c r="K158" s="76">
        <v>54</v>
      </c>
      <c r="L158" s="99">
        <v>49.73</v>
      </c>
      <c r="M158" s="76">
        <v>42</v>
      </c>
      <c r="N158" s="99">
        <v>41.44</v>
      </c>
      <c r="O158" s="88"/>
      <c r="P158" s="97" t="s">
        <v>336</v>
      </c>
      <c r="Q158" s="96"/>
      <c r="R158" s="95"/>
      <c r="S158" s="95"/>
      <c r="T158" s="95">
        <f t="shared" si="62"/>
        <v>0</v>
      </c>
      <c r="U158" s="95"/>
      <c r="V158" s="95">
        <f t="shared" si="63"/>
        <v>0</v>
      </c>
      <c r="W158" s="95">
        <v>0.42499999999999999</v>
      </c>
      <c r="X158" s="95">
        <v>0.28000000000000003</v>
      </c>
    </row>
    <row r="159" spans="1:24" x14ac:dyDescent="0.2">
      <c r="B159" s="116"/>
      <c r="C159" s="6" t="s">
        <v>144</v>
      </c>
      <c r="D159" s="12" t="s">
        <v>188</v>
      </c>
      <c r="E159" s="34">
        <f t="shared" si="70"/>
        <v>16.11</v>
      </c>
      <c r="F159" s="35">
        <f t="shared" si="71"/>
        <v>13.42</v>
      </c>
      <c r="G159" s="23">
        <f t="shared" si="72"/>
        <v>13.0174</v>
      </c>
      <c r="H159" s="24">
        <f t="shared" si="72"/>
        <v>12.748999999999999</v>
      </c>
      <c r="I159" s="25">
        <f t="shared" si="72"/>
        <v>12.614799999999999</v>
      </c>
      <c r="K159" s="76">
        <v>19</v>
      </c>
      <c r="L159" s="99">
        <v>16.11</v>
      </c>
      <c r="M159" s="76">
        <v>14</v>
      </c>
      <c r="N159" s="99">
        <v>13.42</v>
      </c>
      <c r="O159" s="88"/>
      <c r="P159" s="97" t="s">
        <v>336</v>
      </c>
      <c r="Q159" s="96"/>
      <c r="R159" s="95"/>
      <c r="S159" s="95"/>
      <c r="T159" s="95">
        <f t="shared" si="62"/>
        <v>0</v>
      </c>
      <c r="U159" s="95"/>
      <c r="V159" s="95">
        <f t="shared" si="63"/>
        <v>0</v>
      </c>
      <c r="W159" s="95">
        <v>0.44500000000000001</v>
      </c>
      <c r="X159" s="95">
        <v>0.3</v>
      </c>
    </row>
    <row r="160" spans="1:24" x14ac:dyDescent="0.2">
      <c r="A160" s="61"/>
      <c r="B160" s="131"/>
      <c r="C160" s="6" t="s">
        <v>147</v>
      </c>
      <c r="D160" s="12" t="s">
        <v>188</v>
      </c>
      <c r="E160" s="34">
        <f>+L160</f>
        <v>9</v>
      </c>
      <c r="F160" s="35">
        <f>+N160</f>
        <v>6</v>
      </c>
      <c r="G160" s="23">
        <f t="shared" si="72"/>
        <v>5.82</v>
      </c>
      <c r="H160" s="24">
        <f t="shared" si="72"/>
        <v>5.6999999999999993</v>
      </c>
      <c r="I160" s="25">
        <f t="shared" si="72"/>
        <v>5.64</v>
      </c>
      <c r="K160" s="76">
        <v>12</v>
      </c>
      <c r="L160" s="99">
        <f t="shared" si="64"/>
        <v>9</v>
      </c>
      <c r="M160" s="76">
        <v>7</v>
      </c>
      <c r="N160" s="99">
        <f t="shared" si="65"/>
        <v>6</v>
      </c>
      <c r="O160" s="88"/>
      <c r="P160" s="97" t="s">
        <v>335</v>
      </c>
      <c r="Q160" s="96">
        <v>3.94</v>
      </c>
      <c r="R160" s="95"/>
      <c r="S160" s="95"/>
      <c r="T160" s="95">
        <f t="shared" si="62"/>
        <v>3.94</v>
      </c>
      <c r="U160" s="95"/>
      <c r="V160" s="95">
        <f t="shared" si="63"/>
        <v>3.94</v>
      </c>
      <c r="W160" s="95">
        <v>0.6</v>
      </c>
      <c r="X160" s="95">
        <v>0.4</v>
      </c>
    </row>
    <row r="161" spans="1:24" x14ac:dyDescent="0.2">
      <c r="B161" s="131"/>
      <c r="C161" s="6" t="s">
        <v>148</v>
      </c>
      <c r="D161" s="12" t="s">
        <v>188</v>
      </c>
      <c r="E161" s="34">
        <f>+L161</f>
        <v>17</v>
      </c>
      <c r="F161" s="35">
        <f>+N161</f>
        <v>12</v>
      </c>
      <c r="G161" s="23">
        <f t="shared" si="72"/>
        <v>11.64</v>
      </c>
      <c r="H161" s="24">
        <f t="shared" si="72"/>
        <v>11.399999999999999</v>
      </c>
      <c r="I161" s="25">
        <f t="shared" si="72"/>
        <v>11.28</v>
      </c>
      <c r="K161" s="76">
        <v>19</v>
      </c>
      <c r="L161" s="99">
        <f t="shared" si="64"/>
        <v>17</v>
      </c>
      <c r="M161" s="76">
        <v>13</v>
      </c>
      <c r="N161" s="99">
        <f t="shared" si="65"/>
        <v>12</v>
      </c>
      <c r="O161" s="88"/>
      <c r="P161" s="97" t="s">
        <v>335</v>
      </c>
      <c r="Q161" s="96">
        <v>7.58</v>
      </c>
      <c r="R161" s="95"/>
      <c r="S161" s="95"/>
      <c r="T161" s="95">
        <f t="shared" si="62"/>
        <v>7.58</v>
      </c>
      <c r="U161" s="95"/>
      <c r="V161" s="95">
        <f t="shared" si="63"/>
        <v>7.58</v>
      </c>
      <c r="W161" s="95">
        <v>0.6</v>
      </c>
      <c r="X161" s="95">
        <v>0.4</v>
      </c>
    </row>
    <row r="162" spans="1:24" x14ac:dyDescent="0.2">
      <c r="B162" s="131"/>
      <c r="C162" s="6" t="s">
        <v>149</v>
      </c>
      <c r="D162" s="12" t="s">
        <v>188</v>
      </c>
      <c r="E162" s="34">
        <f>+L162</f>
        <v>25</v>
      </c>
      <c r="F162" s="35">
        <f>+N162</f>
        <v>16</v>
      </c>
      <c r="G162" s="23">
        <f t="shared" si="72"/>
        <v>15.52</v>
      </c>
      <c r="H162" s="24">
        <f t="shared" si="72"/>
        <v>15.2</v>
      </c>
      <c r="I162" s="25">
        <f t="shared" si="72"/>
        <v>15.04</v>
      </c>
      <c r="K162" s="76">
        <v>27</v>
      </c>
      <c r="L162" s="99">
        <f t="shared" si="64"/>
        <v>25</v>
      </c>
      <c r="M162" s="76">
        <v>18</v>
      </c>
      <c r="N162" s="99">
        <f t="shared" si="65"/>
        <v>16</v>
      </c>
      <c r="O162" s="88"/>
      <c r="P162" s="97" t="s">
        <v>335</v>
      </c>
      <c r="Q162" s="96">
        <v>9.9499999999999993</v>
      </c>
      <c r="R162" s="95"/>
      <c r="S162" s="95"/>
      <c r="T162" s="95">
        <f t="shared" si="62"/>
        <v>9.9499999999999993</v>
      </c>
      <c r="U162" s="95"/>
      <c r="V162" s="95">
        <f t="shared" si="63"/>
        <v>9.9499999999999993</v>
      </c>
      <c r="W162" s="95">
        <v>0.6</v>
      </c>
      <c r="X162" s="95">
        <v>0.5</v>
      </c>
    </row>
    <row r="163" spans="1:24" x14ac:dyDescent="0.2">
      <c r="B163" s="116"/>
      <c r="C163" s="6" t="s">
        <v>145</v>
      </c>
      <c r="D163" s="12" t="s">
        <v>196</v>
      </c>
      <c r="E163" s="34">
        <f t="shared" si="70"/>
        <v>54.03</v>
      </c>
      <c r="F163" s="35">
        <f t="shared" si="71"/>
        <v>45.03</v>
      </c>
      <c r="G163" s="23">
        <f t="shared" si="72"/>
        <v>43.679099999999998</v>
      </c>
      <c r="H163" s="24">
        <f t="shared" si="72"/>
        <v>42.778500000000001</v>
      </c>
      <c r="I163" s="25">
        <f t="shared" si="72"/>
        <v>42.328199999999995</v>
      </c>
      <c r="K163" s="76">
        <v>63</v>
      </c>
      <c r="L163" s="99">
        <v>54.03</v>
      </c>
      <c r="M163" s="76">
        <v>47</v>
      </c>
      <c r="N163" s="99">
        <v>45.03</v>
      </c>
      <c r="O163" s="88"/>
      <c r="P163" s="97" t="s">
        <v>336</v>
      </c>
      <c r="Q163" s="96"/>
      <c r="R163" s="95"/>
      <c r="S163" s="95"/>
      <c r="T163" s="95">
        <f t="shared" si="62"/>
        <v>0</v>
      </c>
      <c r="U163" s="95"/>
      <c r="V163" s="95">
        <f t="shared" si="63"/>
        <v>0</v>
      </c>
      <c r="W163" s="95">
        <v>0.75</v>
      </c>
      <c r="X163" s="95">
        <v>0.3</v>
      </c>
    </row>
    <row r="164" spans="1:24" x14ac:dyDescent="0.2">
      <c r="B164" s="116"/>
      <c r="C164" s="6" t="s">
        <v>146</v>
      </c>
      <c r="D164" s="12" t="s">
        <v>196</v>
      </c>
      <c r="E164" s="34">
        <f t="shared" si="70"/>
        <v>54.03</v>
      </c>
      <c r="F164" s="35">
        <f t="shared" si="71"/>
        <v>45.03</v>
      </c>
      <c r="G164" s="23">
        <f t="shared" si="72"/>
        <v>43.679099999999998</v>
      </c>
      <c r="H164" s="24">
        <f t="shared" si="72"/>
        <v>42.778500000000001</v>
      </c>
      <c r="I164" s="25">
        <f t="shared" si="72"/>
        <v>42.328199999999995</v>
      </c>
      <c r="K164" s="76">
        <v>63</v>
      </c>
      <c r="L164" s="99">
        <v>54.03</v>
      </c>
      <c r="M164" s="76">
        <v>47</v>
      </c>
      <c r="N164" s="99">
        <v>45.03</v>
      </c>
      <c r="O164" s="88"/>
      <c r="P164" s="97" t="s">
        <v>336</v>
      </c>
      <c r="Q164" s="96"/>
      <c r="R164" s="95"/>
      <c r="S164" s="95"/>
      <c r="T164" s="95">
        <f t="shared" si="62"/>
        <v>0</v>
      </c>
      <c r="U164" s="95"/>
      <c r="V164" s="95">
        <f t="shared" si="63"/>
        <v>0</v>
      </c>
      <c r="W164" s="95">
        <v>0.75</v>
      </c>
      <c r="X164" s="95">
        <v>0.35</v>
      </c>
    </row>
    <row r="165" spans="1:24" x14ac:dyDescent="0.2">
      <c r="B165" s="116"/>
      <c r="C165" s="6" t="s">
        <v>150</v>
      </c>
      <c r="D165" s="12" t="s">
        <v>188</v>
      </c>
      <c r="E165" s="34">
        <f t="shared" ref="E165:E168" si="73">+K165</f>
        <v>172</v>
      </c>
      <c r="F165" s="35">
        <f t="shared" ref="F165:F168" si="74">+M165</f>
        <v>118</v>
      </c>
      <c r="G165" s="23">
        <f t="shared" si="72"/>
        <v>114.46</v>
      </c>
      <c r="H165" s="24">
        <f t="shared" si="72"/>
        <v>112.1</v>
      </c>
      <c r="I165" s="25">
        <f t="shared" si="72"/>
        <v>110.91999999999999</v>
      </c>
      <c r="K165" s="99">
        <v>172</v>
      </c>
      <c r="L165" s="76">
        <f t="shared" si="64"/>
        <v>0</v>
      </c>
      <c r="M165" s="99">
        <v>118</v>
      </c>
      <c r="N165" s="76">
        <f t="shared" si="65"/>
        <v>0</v>
      </c>
      <c r="O165" s="88"/>
      <c r="P165" s="97" t="s">
        <v>337</v>
      </c>
      <c r="Q165" s="96"/>
      <c r="R165" s="95"/>
      <c r="S165" s="95"/>
      <c r="T165" s="95">
        <f t="shared" si="62"/>
        <v>0</v>
      </c>
      <c r="U165" s="95"/>
      <c r="V165" s="95">
        <f t="shared" si="63"/>
        <v>0</v>
      </c>
      <c r="W165" s="95">
        <v>0.28000000000000003</v>
      </c>
      <c r="X165" s="95">
        <v>0.46</v>
      </c>
    </row>
    <row r="166" spans="1:24" x14ac:dyDescent="0.2">
      <c r="B166" s="116"/>
      <c r="C166" s="6" t="s">
        <v>152</v>
      </c>
      <c r="D166" s="12" t="s">
        <v>188</v>
      </c>
      <c r="E166" s="34">
        <f t="shared" si="73"/>
        <v>324</v>
      </c>
      <c r="F166" s="35">
        <f t="shared" si="74"/>
        <v>233</v>
      </c>
      <c r="G166" s="23">
        <f t="shared" si="72"/>
        <v>226.01</v>
      </c>
      <c r="H166" s="24">
        <f t="shared" si="72"/>
        <v>221.35</v>
      </c>
      <c r="I166" s="25">
        <f t="shared" si="72"/>
        <v>219.01999999999998</v>
      </c>
      <c r="K166" s="99">
        <v>324</v>
      </c>
      <c r="L166" s="76">
        <f t="shared" si="64"/>
        <v>0</v>
      </c>
      <c r="M166" s="99">
        <v>233</v>
      </c>
      <c r="N166" s="76">
        <f t="shared" si="65"/>
        <v>0</v>
      </c>
      <c r="O166" s="88"/>
      <c r="P166" s="97" t="s">
        <v>337</v>
      </c>
      <c r="Q166" s="96"/>
      <c r="R166" s="95"/>
      <c r="S166" s="95"/>
      <c r="T166" s="95">
        <f t="shared" si="62"/>
        <v>0</v>
      </c>
      <c r="U166" s="95"/>
      <c r="V166" s="95">
        <f t="shared" si="63"/>
        <v>0</v>
      </c>
      <c r="W166" s="95">
        <v>0.34499999999999997</v>
      </c>
      <c r="X166" s="95">
        <v>0.39</v>
      </c>
    </row>
    <row r="167" spans="1:24" x14ac:dyDescent="0.2">
      <c r="B167" s="116"/>
      <c r="C167" s="6" t="s">
        <v>153</v>
      </c>
      <c r="D167" s="12" t="s">
        <v>188</v>
      </c>
      <c r="E167" s="34">
        <f t="shared" si="73"/>
        <v>113</v>
      </c>
      <c r="F167" s="35">
        <f t="shared" si="74"/>
        <v>78</v>
      </c>
      <c r="G167" s="23">
        <f t="shared" si="72"/>
        <v>75.66</v>
      </c>
      <c r="H167" s="24">
        <f t="shared" si="72"/>
        <v>74.099999999999994</v>
      </c>
      <c r="I167" s="25">
        <f t="shared" si="72"/>
        <v>73.319999999999993</v>
      </c>
      <c r="K167" s="99">
        <v>113</v>
      </c>
      <c r="L167" s="76">
        <f t="shared" si="64"/>
        <v>0</v>
      </c>
      <c r="M167" s="99">
        <v>78</v>
      </c>
      <c r="N167" s="76">
        <f t="shared" si="65"/>
        <v>0</v>
      </c>
      <c r="O167" s="88"/>
      <c r="P167" s="97" t="s">
        <v>337</v>
      </c>
      <c r="Q167" s="96"/>
      <c r="R167" s="95"/>
      <c r="S167" s="95"/>
      <c r="T167" s="95">
        <f t="shared" si="62"/>
        <v>0</v>
      </c>
      <c r="U167" s="95"/>
      <c r="V167" s="95">
        <f t="shared" si="63"/>
        <v>0</v>
      </c>
      <c r="W167" s="95">
        <v>0.28000000000000003</v>
      </c>
      <c r="X167" s="95">
        <v>0.44800000000000001</v>
      </c>
    </row>
    <row r="168" spans="1:24" x14ac:dyDescent="0.2">
      <c r="B168" s="116"/>
      <c r="C168" s="6" t="s">
        <v>151</v>
      </c>
      <c r="D168" s="12" t="s">
        <v>188</v>
      </c>
      <c r="E168" s="34">
        <f t="shared" si="73"/>
        <v>238</v>
      </c>
      <c r="F168" s="35">
        <f t="shared" si="74"/>
        <v>164</v>
      </c>
      <c r="G168" s="23">
        <f t="shared" ref="G168:I172" si="75">$F168*(1-G$1)</f>
        <v>159.07999999999998</v>
      </c>
      <c r="H168" s="24">
        <f t="shared" si="75"/>
        <v>155.79999999999998</v>
      </c>
      <c r="I168" s="25">
        <f t="shared" si="75"/>
        <v>154.16</v>
      </c>
      <c r="K168" s="99">
        <v>238</v>
      </c>
      <c r="L168" s="76">
        <f t="shared" si="64"/>
        <v>0</v>
      </c>
      <c r="M168" s="99">
        <v>164</v>
      </c>
      <c r="N168" s="76">
        <f t="shared" si="65"/>
        <v>0</v>
      </c>
      <c r="O168" s="88"/>
      <c r="P168" s="97" t="s">
        <v>337</v>
      </c>
      <c r="Q168" s="96"/>
      <c r="R168" s="95"/>
      <c r="S168" s="95"/>
      <c r="T168" s="95">
        <f t="shared" si="62"/>
        <v>0</v>
      </c>
      <c r="U168" s="95"/>
      <c r="V168" s="95">
        <f t="shared" si="63"/>
        <v>0</v>
      </c>
      <c r="W168" s="95">
        <v>0.29499999999999998</v>
      </c>
      <c r="X168" s="95">
        <v>0.45</v>
      </c>
    </row>
    <row r="169" spans="1:24" x14ac:dyDescent="0.2">
      <c r="B169" s="116"/>
      <c r="C169" s="6" t="s">
        <v>201</v>
      </c>
      <c r="D169" s="12" t="s">
        <v>196</v>
      </c>
      <c r="E169" s="34">
        <f t="shared" si="70"/>
        <v>37.380000000000003</v>
      </c>
      <c r="F169" s="35">
        <f t="shared" si="71"/>
        <v>31.15</v>
      </c>
      <c r="G169" s="23">
        <f t="shared" si="75"/>
        <v>30.215499999999999</v>
      </c>
      <c r="H169" s="24">
        <f t="shared" si="75"/>
        <v>29.592499999999998</v>
      </c>
      <c r="I169" s="25">
        <f t="shared" si="75"/>
        <v>29.280999999999995</v>
      </c>
      <c r="K169" s="76">
        <v>52</v>
      </c>
      <c r="L169" s="99">
        <v>37.380000000000003</v>
      </c>
      <c r="M169" s="76">
        <v>37</v>
      </c>
      <c r="N169" s="99">
        <v>31.15</v>
      </c>
      <c r="O169" s="88"/>
      <c r="P169" s="97" t="s">
        <v>336</v>
      </c>
      <c r="Q169" s="96"/>
      <c r="R169" s="95"/>
      <c r="S169" s="95"/>
      <c r="T169" s="95">
        <f t="shared" si="62"/>
        <v>0</v>
      </c>
      <c r="U169" s="95"/>
      <c r="V169" s="95">
        <f t="shared" si="63"/>
        <v>0</v>
      </c>
      <c r="W169" s="95">
        <v>0.65</v>
      </c>
      <c r="X169" s="95">
        <v>0.40500000000000003</v>
      </c>
    </row>
    <row r="170" spans="1:24" x14ac:dyDescent="0.2">
      <c r="A170" s="61"/>
      <c r="B170" s="118"/>
      <c r="C170" s="6" t="s">
        <v>202</v>
      </c>
      <c r="D170" s="12" t="s">
        <v>196</v>
      </c>
      <c r="E170" s="34">
        <f t="shared" si="70"/>
        <v>53.93</v>
      </c>
      <c r="F170" s="35">
        <f t="shared" si="71"/>
        <v>44.94</v>
      </c>
      <c r="G170" s="23">
        <f t="shared" si="75"/>
        <v>43.591799999999999</v>
      </c>
      <c r="H170" s="24">
        <f t="shared" si="75"/>
        <v>42.692999999999998</v>
      </c>
      <c r="I170" s="25">
        <f t="shared" si="75"/>
        <v>42.243599999999994</v>
      </c>
      <c r="K170" s="76">
        <v>68</v>
      </c>
      <c r="L170" s="99">
        <v>53.93</v>
      </c>
      <c r="M170" s="76">
        <v>62</v>
      </c>
      <c r="N170" s="99">
        <v>44.94</v>
      </c>
      <c r="O170" s="88"/>
      <c r="P170" s="97" t="s">
        <v>336</v>
      </c>
      <c r="Q170" s="96"/>
      <c r="R170" s="95"/>
      <c r="S170" s="95"/>
      <c r="T170" s="95">
        <f t="shared" si="62"/>
        <v>0</v>
      </c>
      <c r="U170" s="95"/>
      <c r="V170" s="95">
        <f t="shared" si="63"/>
        <v>0</v>
      </c>
      <c r="W170" s="95">
        <v>0.7</v>
      </c>
      <c r="X170" s="95">
        <v>0.39</v>
      </c>
    </row>
    <row r="171" spans="1:24" x14ac:dyDescent="0.2">
      <c r="B171" s="116"/>
      <c r="C171" s="6" t="s">
        <v>203</v>
      </c>
      <c r="D171" s="12" t="s">
        <v>196</v>
      </c>
      <c r="E171" s="34">
        <f t="shared" si="70"/>
        <v>67.81</v>
      </c>
      <c r="F171" s="35">
        <f t="shared" si="71"/>
        <v>56.51</v>
      </c>
      <c r="G171" s="23">
        <f t="shared" si="75"/>
        <v>54.814699999999995</v>
      </c>
      <c r="H171" s="24">
        <f t="shared" si="75"/>
        <v>53.684499999999993</v>
      </c>
      <c r="I171" s="25">
        <f t="shared" si="75"/>
        <v>53.119399999999992</v>
      </c>
      <c r="K171" s="76">
        <v>89</v>
      </c>
      <c r="L171" s="99">
        <v>67.81</v>
      </c>
      <c r="M171" s="76">
        <v>62</v>
      </c>
      <c r="N171" s="99">
        <v>56.51</v>
      </c>
      <c r="O171" s="88"/>
      <c r="P171" s="97" t="s">
        <v>336</v>
      </c>
      <c r="Q171" s="96"/>
      <c r="R171" s="95"/>
      <c r="S171" s="95"/>
      <c r="T171" s="95">
        <f t="shared" si="62"/>
        <v>0</v>
      </c>
      <c r="U171" s="95"/>
      <c r="V171" s="95">
        <f t="shared" si="63"/>
        <v>0</v>
      </c>
      <c r="W171" s="95">
        <v>0.7</v>
      </c>
      <c r="X171" s="95">
        <v>0.435</v>
      </c>
    </row>
    <row r="172" spans="1:24" x14ac:dyDescent="0.2">
      <c r="B172" s="116"/>
      <c r="C172" s="6" t="s">
        <v>204</v>
      </c>
      <c r="D172" s="12" t="s">
        <v>196</v>
      </c>
      <c r="E172" s="34">
        <f t="shared" si="70"/>
        <v>30.52</v>
      </c>
      <c r="F172" s="35">
        <f t="shared" si="71"/>
        <v>25.43</v>
      </c>
      <c r="G172" s="23">
        <f t="shared" si="75"/>
        <v>24.667099999999998</v>
      </c>
      <c r="H172" s="24">
        <f t="shared" si="75"/>
        <v>24.1585</v>
      </c>
      <c r="I172" s="25">
        <f t="shared" si="75"/>
        <v>23.904199999999999</v>
      </c>
      <c r="K172" s="76">
        <v>27</v>
      </c>
      <c r="L172" s="99">
        <v>30.52</v>
      </c>
      <c r="M172" s="76">
        <v>22</v>
      </c>
      <c r="N172" s="99">
        <v>25.43</v>
      </c>
      <c r="O172" s="88"/>
      <c r="P172" s="97" t="s">
        <v>336</v>
      </c>
      <c r="Q172" s="96"/>
      <c r="R172" s="95"/>
      <c r="S172" s="95"/>
      <c r="T172" s="95">
        <f t="shared" si="62"/>
        <v>0</v>
      </c>
      <c r="U172" s="95"/>
      <c r="V172" s="95">
        <f t="shared" si="63"/>
        <v>0</v>
      </c>
      <c r="W172" s="95">
        <v>0.3</v>
      </c>
      <c r="X172" s="95">
        <v>0.2</v>
      </c>
    </row>
    <row r="173" spans="1:24" x14ac:dyDescent="0.2">
      <c r="A173" s="20"/>
      <c r="B173" s="20"/>
      <c r="C173" s="2" t="s">
        <v>229</v>
      </c>
      <c r="D173" s="14"/>
      <c r="E173" s="48"/>
      <c r="F173" s="48"/>
      <c r="G173" s="48"/>
      <c r="H173" s="48"/>
      <c r="I173" s="48"/>
      <c r="K173" s="78"/>
      <c r="L173" s="76"/>
      <c r="M173" s="78"/>
      <c r="N173" s="76"/>
      <c r="O173" s="88"/>
      <c r="T173" s="1">
        <f t="shared" si="62"/>
        <v>0</v>
      </c>
      <c r="V173" s="1">
        <f t="shared" si="63"/>
        <v>0</v>
      </c>
    </row>
    <row r="174" spans="1:24" x14ac:dyDescent="0.2">
      <c r="A174" s="61"/>
      <c r="B174" s="118"/>
      <c r="C174" s="6" t="s">
        <v>155</v>
      </c>
      <c r="D174" s="12" t="s">
        <v>188</v>
      </c>
      <c r="E174" s="34">
        <f t="shared" ref="E174:E183" si="76">+K174</f>
        <v>107.65</v>
      </c>
      <c r="F174" s="35">
        <f t="shared" ref="F174:F183" si="77">+M174</f>
        <v>69.16</v>
      </c>
      <c r="G174" s="23">
        <f t="shared" ref="G174:I183" si="78">$F174*(1-G$1)</f>
        <v>67.0852</v>
      </c>
      <c r="H174" s="24">
        <f t="shared" si="78"/>
        <v>65.701999999999998</v>
      </c>
      <c r="I174" s="25">
        <f t="shared" si="78"/>
        <v>65.01039999999999</v>
      </c>
      <c r="K174" s="99">
        <v>107.65</v>
      </c>
      <c r="L174" s="76">
        <f t="shared" si="64"/>
        <v>102</v>
      </c>
      <c r="M174" s="99">
        <v>69.16</v>
      </c>
      <c r="N174" s="76">
        <f t="shared" si="65"/>
        <v>64</v>
      </c>
      <c r="O174" s="88"/>
      <c r="P174" s="97" t="s">
        <v>300</v>
      </c>
      <c r="Q174" s="96">
        <v>44.47</v>
      </c>
      <c r="R174" s="95"/>
      <c r="S174" s="95"/>
      <c r="T174" s="95">
        <f t="shared" si="62"/>
        <v>44.47</v>
      </c>
      <c r="U174" s="95"/>
      <c r="V174" s="95">
        <f t="shared" si="63"/>
        <v>44.47</v>
      </c>
      <c r="W174" s="95">
        <v>0.39500000000000002</v>
      </c>
      <c r="X174" s="95">
        <v>0.6</v>
      </c>
    </row>
    <row r="175" spans="1:24" x14ac:dyDescent="0.2">
      <c r="B175" s="116"/>
      <c r="C175" s="6" t="s">
        <v>156</v>
      </c>
      <c r="D175" s="12" t="s">
        <v>188</v>
      </c>
      <c r="E175" s="34">
        <f t="shared" si="76"/>
        <v>31.55</v>
      </c>
      <c r="F175" s="35">
        <f t="shared" si="77"/>
        <v>20.27</v>
      </c>
      <c r="G175" s="23">
        <f t="shared" si="78"/>
        <v>19.661899999999999</v>
      </c>
      <c r="H175" s="24">
        <f t="shared" si="78"/>
        <v>19.256499999999999</v>
      </c>
      <c r="I175" s="25">
        <f t="shared" si="78"/>
        <v>19.053799999999999</v>
      </c>
      <c r="K175" s="99">
        <v>31.55</v>
      </c>
      <c r="L175" s="76">
        <f t="shared" si="64"/>
        <v>29</v>
      </c>
      <c r="M175" s="99">
        <v>20.27</v>
      </c>
      <c r="N175" s="76">
        <f t="shared" si="65"/>
        <v>19</v>
      </c>
      <c r="O175" s="88"/>
      <c r="P175" s="97" t="s">
        <v>300</v>
      </c>
      <c r="Q175" s="96">
        <v>13.04</v>
      </c>
      <c r="R175" s="95"/>
      <c r="S175" s="95"/>
      <c r="T175" s="95">
        <f t="shared" si="62"/>
        <v>13.04</v>
      </c>
      <c r="U175" s="95"/>
      <c r="V175" s="95">
        <f t="shared" si="63"/>
        <v>13.04</v>
      </c>
      <c r="W175" s="95">
        <v>0.44</v>
      </c>
      <c r="X175" s="95">
        <v>0.5</v>
      </c>
    </row>
    <row r="176" spans="1:24" x14ac:dyDescent="0.2">
      <c r="B176" s="116"/>
      <c r="C176" s="6" t="s">
        <v>157</v>
      </c>
      <c r="D176" s="12" t="s">
        <v>188</v>
      </c>
      <c r="E176" s="34">
        <f t="shared" si="76"/>
        <v>135.69999999999999</v>
      </c>
      <c r="F176" s="35">
        <f t="shared" si="77"/>
        <v>87.18</v>
      </c>
      <c r="G176" s="23">
        <f t="shared" si="78"/>
        <v>84.564599999999999</v>
      </c>
      <c r="H176" s="24">
        <f t="shared" si="78"/>
        <v>82.820999999999998</v>
      </c>
      <c r="I176" s="25">
        <f t="shared" si="78"/>
        <v>81.949200000000005</v>
      </c>
      <c r="K176" s="99">
        <v>135.69999999999999</v>
      </c>
      <c r="L176" s="76">
        <f t="shared" si="64"/>
        <v>128</v>
      </c>
      <c r="M176" s="99">
        <v>87.18</v>
      </c>
      <c r="N176" s="76">
        <f t="shared" si="65"/>
        <v>80</v>
      </c>
      <c r="O176" s="88"/>
      <c r="P176" s="97" t="s">
        <v>300</v>
      </c>
      <c r="Q176" s="96">
        <v>56.05</v>
      </c>
      <c r="R176" s="95"/>
      <c r="S176" s="95"/>
      <c r="T176" s="95">
        <f t="shared" si="62"/>
        <v>56.05</v>
      </c>
      <c r="U176" s="95"/>
      <c r="V176" s="95">
        <f t="shared" si="63"/>
        <v>56.05</v>
      </c>
      <c r="W176" s="95">
        <v>0.38300000000000001</v>
      </c>
      <c r="X176" s="95">
        <v>0.6</v>
      </c>
    </row>
    <row r="177" spans="1:24" x14ac:dyDescent="0.2">
      <c r="B177" s="116"/>
      <c r="C177" s="6" t="s">
        <v>158</v>
      </c>
      <c r="D177" s="12" t="s">
        <v>188</v>
      </c>
      <c r="E177" s="34">
        <f t="shared" si="76"/>
        <v>93.95</v>
      </c>
      <c r="F177" s="35">
        <f t="shared" si="77"/>
        <v>60.35</v>
      </c>
      <c r="G177" s="23">
        <f t="shared" si="78"/>
        <v>58.539499999999997</v>
      </c>
      <c r="H177" s="24">
        <f t="shared" si="78"/>
        <v>57.332499999999996</v>
      </c>
      <c r="I177" s="25">
        <f t="shared" si="78"/>
        <v>56.728999999999999</v>
      </c>
      <c r="K177" s="99">
        <v>93.95</v>
      </c>
      <c r="L177" s="76">
        <f t="shared" si="64"/>
        <v>89</v>
      </c>
      <c r="M177" s="99">
        <v>60.35</v>
      </c>
      <c r="N177" s="76">
        <f t="shared" si="65"/>
        <v>56</v>
      </c>
      <c r="O177" s="88"/>
      <c r="P177" s="97" t="s">
        <v>300</v>
      </c>
      <c r="Q177" s="96">
        <v>38.82</v>
      </c>
      <c r="R177" s="95"/>
      <c r="S177" s="95"/>
      <c r="T177" s="95">
        <f t="shared" si="62"/>
        <v>38.82</v>
      </c>
      <c r="U177" s="95"/>
      <c r="V177" s="95">
        <f t="shared" si="63"/>
        <v>38.82</v>
      </c>
      <c r="W177" s="95">
        <v>0.39500000000000002</v>
      </c>
      <c r="X177" s="95">
        <v>0.6</v>
      </c>
    </row>
    <row r="178" spans="1:24" x14ac:dyDescent="0.2">
      <c r="B178" s="116"/>
      <c r="C178" s="6" t="s">
        <v>159</v>
      </c>
      <c r="D178" s="12" t="s">
        <v>188</v>
      </c>
      <c r="E178" s="34">
        <f t="shared" si="76"/>
        <v>55.7</v>
      </c>
      <c r="F178" s="35">
        <f t="shared" si="77"/>
        <v>35.78</v>
      </c>
      <c r="G178" s="23">
        <f t="shared" si="78"/>
        <v>34.706600000000002</v>
      </c>
      <c r="H178" s="24">
        <f t="shared" si="78"/>
        <v>33.991</v>
      </c>
      <c r="I178" s="25">
        <f t="shared" si="78"/>
        <v>33.633200000000002</v>
      </c>
      <c r="K178" s="99">
        <v>55.7</v>
      </c>
      <c r="L178" s="76">
        <f t="shared" si="64"/>
        <v>54</v>
      </c>
      <c r="M178" s="99">
        <v>35.78</v>
      </c>
      <c r="N178" s="76">
        <f t="shared" si="65"/>
        <v>34</v>
      </c>
      <c r="O178" s="88"/>
      <c r="P178" s="97" t="s">
        <v>300</v>
      </c>
      <c r="Q178" s="96">
        <v>23.47</v>
      </c>
      <c r="R178" s="95"/>
      <c r="S178" s="95"/>
      <c r="T178" s="95">
        <f t="shared" si="62"/>
        <v>23.47</v>
      </c>
      <c r="U178" s="95"/>
      <c r="V178" s="95">
        <f t="shared" si="63"/>
        <v>23.47</v>
      </c>
      <c r="W178" s="95">
        <v>0.39500000000000002</v>
      </c>
      <c r="X178" s="95">
        <v>0.6</v>
      </c>
    </row>
    <row r="179" spans="1:24" x14ac:dyDescent="0.2">
      <c r="B179" s="116"/>
      <c r="C179" s="6" t="s">
        <v>160</v>
      </c>
      <c r="D179" s="12" t="s">
        <v>188</v>
      </c>
      <c r="E179" s="34">
        <f t="shared" si="76"/>
        <v>85.75</v>
      </c>
      <c r="F179" s="35">
        <f t="shared" si="77"/>
        <v>55.09</v>
      </c>
      <c r="G179" s="23">
        <f t="shared" si="78"/>
        <v>53.4373</v>
      </c>
      <c r="H179" s="24">
        <f t="shared" si="78"/>
        <v>52.335500000000003</v>
      </c>
      <c r="I179" s="25">
        <f t="shared" si="78"/>
        <v>51.784599999999998</v>
      </c>
      <c r="K179" s="99">
        <v>85.75</v>
      </c>
      <c r="L179" s="76">
        <f t="shared" si="64"/>
        <v>83</v>
      </c>
      <c r="M179" s="99">
        <v>55.09</v>
      </c>
      <c r="N179" s="76">
        <f t="shared" si="65"/>
        <v>52</v>
      </c>
      <c r="O179" s="88"/>
      <c r="P179" s="97" t="s">
        <v>300</v>
      </c>
      <c r="Q179" s="96">
        <v>36.130000000000003</v>
      </c>
      <c r="R179" s="95"/>
      <c r="S179" s="95"/>
      <c r="T179" s="95">
        <f t="shared" si="62"/>
        <v>36.130000000000003</v>
      </c>
      <c r="U179" s="95"/>
      <c r="V179" s="95">
        <f t="shared" si="63"/>
        <v>36.130000000000003</v>
      </c>
      <c r="W179" s="95">
        <v>0.39500000000000002</v>
      </c>
      <c r="X179" s="95">
        <v>0.6</v>
      </c>
    </row>
    <row r="180" spans="1:24" x14ac:dyDescent="0.2">
      <c r="B180" s="118"/>
      <c r="C180" s="8" t="s">
        <v>161</v>
      </c>
      <c r="D180" s="15" t="s">
        <v>188</v>
      </c>
      <c r="E180" s="34">
        <f t="shared" si="76"/>
        <v>48.55</v>
      </c>
      <c r="F180" s="35">
        <f t="shared" si="77"/>
        <v>31.19</v>
      </c>
      <c r="G180" s="23">
        <f t="shared" si="78"/>
        <v>30.254300000000001</v>
      </c>
      <c r="H180" s="24">
        <f t="shared" si="78"/>
        <v>29.630500000000001</v>
      </c>
      <c r="I180" s="25">
        <f t="shared" si="78"/>
        <v>29.3186</v>
      </c>
      <c r="K180" s="101">
        <v>48.55</v>
      </c>
      <c r="L180" s="76">
        <f t="shared" si="64"/>
        <v>48</v>
      </c>
      <c r="M180" s="101">
        <v>31.19</v>
      </c>
      <c r="N180" s="76">
        <f t="shared" si="65"/>
        <v>30</v>
      </c>
      <c r="O180" s="88"/>
      <c r="P180" s="97" t="s">
        <v>300</v>
      </c>
      <c r="Q180" s="96">
        <v>20.45</v>
      </c>
      <c r="R180" s="95"/>
      <c r="S180" s="95"/>
      <c r="T180" s="95">
        <f t="shared" si="62"/>
        <v>20.45</v>
      </c>
      <c r="U180" s="95"/>
      <c r="V180" s="95">
        <f t="shared" si="63"/>
        <v>20.45</v>
      </c>
      <c r="W180" s="95">
        <v>0.42499999999999999</v>
      </c>
      <c r="X180" s="95">
        <v>0.6</v>
      </c>
    </row>
    <row r="181" spans="1:24" x14ac:dyDescent="0.2">
      <c r="B181" s="118"/>
      <c r="C181" s="8" t="s">
        <v>209</v>
      </c>
      <c r="D181" s="15" t="s">
        <v>188</v>
      </c>
      <c r="E181" s="34">
        <f t="shared" si="76"/>
        <v>555.15</v>
      </c>
      <c r="F181" s="35">
        <f t="shared" si="77"/>
        <v>356.63</v>
      </c>
      <c r="G181" s="23">
        <f t="shared" si="78"/>
        <v>345.93109999999996</v>
      </c>
      <c r="H181" s="24">
        <f t="shared" si="78"/>
        <v>338.79849999999999</v>
      </c>
      <c r="I181" s="25">
        <f t="shared" si="78"/>
        <v>335.23219999999998</v>
      </c>
      <c r="K181" s="101">
        <v>555.15</v>
      </c>
      <c r="L181" s="76">
        <f t="shared" si="64"/>
        <v>476</v>
      </c>
      <c r="M181" s="101">
        <v>356.63</v>
      </c>
      <c r="N181" s="76">
        <f t="shared" si="65"/>
        <v>340</v>
      </c>
      <c r="O181" s="88"/>
      <c r="P181" s="97" t="s">
        <v>300</v>
      </c>
      <c r="Q181" s="96">
        <v>213.6</v>
      </c>
      <c r="R181" s="95"/>
      <c r="S181" s="95"/>
      <c r="T181" s="95">
        <f t="shared" si="62"/>
        <v>213.6</v>
      </c>
      <c r="U181" s="95"/>
      <c r="V181" s="95">
        <f t="shared" si="63"/>
        <v>213.6</v>
      </c>
      <c r="W181" s="95">
        <v>0.54400000000000004</v>
      </c>
      <c r="X181" s="95">
        <v>0.4</v>
      </c>
    </row>
    <row r="182" spans="1:24" x14ac:dyDescent="0.2">
      <c r="B182" s="116"/>
      <c r="C182" s="6" t="s">
        <v>162</v>
      </c>
      <c r="D182" s="12" t="s">
        <v>188</v>
      </c>
      <c r="E182" s="34">
        <f t="shared" si="76"/>
        <v>394.95</v>
      </c>
      <c r="F182" s="35">
        <f t="shared" si="77"/>
        <v>253.72</v>
      </c>
      <c r="G182" s="23">
        <f t="shared" si="78"/>
        <v>246.10839999999999</v>
      </c>
      <c r="H182" s="24">
        <f t="shared" si="78"/>
        <v>241.03399999999999</v>
      </c>
      <c r="I182" s="25">
        <f t="shared" si="78"/>
        <v>238.49679999999998</v>
      </c>
      <c r="K182" s="99">
        <v>394.95</v>
      </c>
      <c r="L182" s="76">
        <f t="shared" si="64"/>
        <v>346</v>
      </c>
      <c r="M182" s="99">
        <v>253.72</v>
      </c>
      <c r="N182" s="76">
        <f t="shared" si="65"/>
        <v>216</v>
      </c>
      <c r="O182" s="88"/>
      <c r="P182" s="97" t="s">
        <v>300</v>
      </c>
      <c r="Q182" s="96">
        <v>151.96</v>
      </c>
      <c r="R182" s="95"/>
      <c r="S182" s="95"/>
      <c r="T182" s="95">
        <f t="shared" si="62"/>
        <v>151.96</v>
      </c>
      <c r="U182" s="95"/>
      <c r="V182" s="95">
        <f t="shared" si="63"/>
        <v>151.96</v>
      </c>
      <c r="W182" s="95">
        <v>0.38200000000000001</v>
      </c>
      <c r="X182" s="95">
        <v>0.6</v>
      </c>
    </row>
    <row r="183" spans="1:24" x14ac:dyDescent="0.2">
      <c r="A183" s="60"/>
      <c r="B183" s="117"/>
      <c r="C183" s="6" t="s">
        <v>163</v>
      </c>
      <c r="D183" s="12" t="s">
        <v>188</v>
      </c>
      <c r="E183" s="34">
        <f t="shared" si="76"/>
        <v>120.85</v>
      </c>
      <c r="F183" s="35">
        <f t="shared" si="77"/>
        <v>77.64</v>
      </c>
      <c r="G183" s="23">
        <f t="shared" si="78"/>
        <v>75.3108</v>
      </c>
      <c r="H183" s="24">
        <f t="shared" si="78"/>
        <v>73.757999999999996</v>
      </c>
      <c r="I183" s="25">
        <f t="shared" si="78"/>
        <v>72.9816</v>
      </c>
      <c r="K183" s="99">
        <v>120.85</v>
      </c>
      <c r="L183" s="76">
        <f t="shared" si="64"/>
        <v>119</v>
      </c>
      <c r="M183" s="99">
        <v>77.64</v>
      </c>
      <c r="N183" s="76">
        <f t="shared" si="65"/>
        <v>74</v>
      </c>
      <c r="O183" s="88"/>
      <c r="P183" s="97" t="s">
        <v>300</v>
      </c>
      <c r="Q183" s="96">
        <v>50.42</v>
      </c>
      <c r="R183" s="95"/>
      <c r="S183" s="95"/>
      <c r="T183" s="95">
        <f t="shared" si="62"/>
        <v>50.42</v>
      </c>
      <c r="U183" s="95"/>
      <c r="V183" s="95">
        <f t="shared" si="63"/>
        <v>50.42</v>
      </c>
      <c r="W183" s="95">
        <v>0.434</v>
      </c>
      <c r="X183" s="95">
        <v>0.6</v>
      </c>
    </row>
    <row r="184" spans="1:24" x14ac:dyDescent="0.2">
      <c r="A184" s="60"/>
      <c r="B184" s="118"/>
      <c r="C184" s="6" t="s">
        <v>230</v>
      </c>
      <c r="D184" s="12" t="s">
        <v>188</v>
      </c>
      <c r="E184" s="34">
        <f t="shared" ref="E184" si="79">L184</f>
        <v>65.211999999999989</v>
      </c>
      <c r="F184" s="35">
        <f t="shared" ref="F184" si="80">N184</f>
        <v>46.58</v>
      </c>
      <c r="G184" s="23">
        <f>+F184</f>
        <v>46.58</v>
      </c>
      <c r="H184" s="24">
        <f>+G184</f>
        <v>46.58</v>
      </c>
      <c r="I184" s="25">
        <f>+H184</f>
        <v>46.58</v>
      </c>
      <c r="K184" s="85">
        <v>19.21</v>
      </c>
      <c r="L184" s="99">
        <f t="shared" ref="L184" si="81">+N184*1.4</f>
        <v>65.211999999999989</v>
      </c>
      <c r="M184" s="85">
        <v>16.010000000000002</v>
      </c>
      <c r="N184" s="99">
        <v>46.58</v>
      </c>
      <c r="O184" s="88"/>
      <c r="P184" s="97" t="s">
        <v>325</v>
      </c>
      <c r="Q184" s="96">
        <v>30.28</v>
      </c>
      <c r="R184" s="95"/>
      <c r="S184" s="95"/>
      <c r="T184" s="95">
        <f t="shared" si="62"/>
        <v>30.28</v>
      </c>
      <c r="U184" s="95"/>
      <c r="V184" s="95">
        <f t="shared" si="63"/>
        <v>30.28</v>
      </c>
      <c r="W184" s="98" t="s">
        <v>342</v>
      </c>
      <c r="X184" s="98" t="s">
        <v>343</v>
      </c>
    </row>
    <row r="185" spans="1:24" x14ac:dyDescent="0.2">
      <c r="A185" s="20"/>
      <c r="B185" s="20"/>
      <c r="C185" s="2" t="s">
        <v>424</v>
      </c>
      <c r="D185" s="14"/>
      <c r="E185" s="48"/>
      <c r="F185" s="48"/>
      <c r="G185" s="48"/>
      <c r="H185" s="48"/>
      <c r="I185" s="48"/>
      <c r="K185" s="78"/>
      <c r="L185" s="76"/>
      <c r="M185" s="78"/>
      <c r="N185" s="76"/>
      <c r="O185" s="88"/>
      <c r="T185" s="1">
        <f t="shared" si="62"/>
        <v>0</v>
      </c>
      <c r="V185" s="1">
        <f t="shared" si="63"/>
        <v>0</v>
      </c>
    </row>
    <row r="186" spans="1:24" x14ac:dyDescent="0.2">
      <c r="A186" s="61"/>
      <c r="B186" s="119"/>
      <c r="C186" s="105" t="s">
        <v>252</v>
      </c>
      <c r="D186" s="13" t="s">
        <v>188</v>
      </c>
      <c r="E186" s="34">
        <f>+K186</f>
        <v>33</v>
      </c>
      <c r="F186" s="35">
        <f>+M186</f>
        <v>26</v>
      </c>
      <c r="G186" s="23">
        <f t="shared" ref="G186:I195" si="82">$F186*(1-G$1)</f>
        <v>25.22</v>
      </c>
      <c r="H186" s="24">
        <f t="shared" si="82"/>
        <v>24.7</v>
      </c>
      <c r="I186" s="25">
        <f t="shared" si="82"/>
        <v>24.439999999999998</v>
      </c>
      <c r="K186" s="99">
        <v>33</v>
      </c>
      <c r="L186" s="76">
        <f t="shared" si="64"/>
        <v>30</v>
      </c>
      <c r="M186" s="99">
        <v>26</v>
      </c>
      <c r="N186" s="76">
        <f t="shared" si="65"/>
        <v>23</v>
      </c>
      <c r="O186" s="128" t="s">
        <v>356</v>
      </c>
      <c r="P186" s="97" t="s">
        <v>312</v>
      </c>
      <c r="Q186" s="96">
        <v>13.1</v>
      </c>
      <c r="R186" s="96">
        <v>3</v>
      </c>
      <c r="S186" s="95"/>
      <c r="T186" s="95">
        <f t="shared" si="62"/>
        <v>16.100000000000001</v>
      </c>
      <c r="U186" s="95"/>
      <c r="V186" s="95">
        <f t="shared" si="63"/>
        <v>16.100000000000001</v>
      </c>
      <c r="W186" s="95">
        <v>0.41</v>
      </c>
      <c r="X186" s="95">
        <v>0.28000000000000003</v>
      </c>
    </row>
    <row r="187" spans="1:24" x14ac:dyDescent="0.2">
      <c r="B187" s="116"/>
      <c r="C187" s="104" t="s">
        <v>353</v>
      </c>
      <c r="D187" s="12" t="s">
        <v>188</v>
      </c>
      <c r="E187" s="34">
        <f t="shared" ref="E187" si="83">L187</f>
        <v>1</v>
      </c>
      <c r="F187" s="35">
        <f t="shared" ref="F187" si="84">N187</f>
        <v>1</v>
      </c>
      <c r="G187" s="23">
        <f t="shared" si="82"/>
        <v>0.97</v>
      </c>
      <c r="H187" s="24">
        <f t="shared" si="82"/>
        <v>0.95</v>
      </c>
      <c r="I187" s="25">
        <f t="shared" si="82"/>
        <v>0.94</v>
      </c>
      <c r="K187" s="79">
        <v>1.4</v>
      </c>
      <c r="L187" s="99">
        <f t="shared" si="64"/>
        <v>1</v>
      </c>
      <c r="M187" s="79">
        <v>1.2</v>
      </c>
      <c r="N187" s="99">
        <f t="shared" si="65"/>
        <v>1</v>
      </c>
      <c r="O187" s="128" t="s">
        <v>356</v>
      </c>
      <c r="P187" s="97" t="s">
        <v>312</v>
      </c>
      <c r="Q187" s="96">
        <f>2.92/4</f>
        <v>0.73</v>
      </c>
      <c r="R187" s="95"/>
      <c r="S187" s="95"/>
      <c r="T187" s="95">
        <f t="shared" si="62"/>
        <v>0.73</v>
      </c>
      <c r="U187" s="95"/>
      <c r="V187" s="95">
        <f t="shared" si="63"/>
        <v>0.73</v>
      </c>
      <c r="W187" s="95">
        <v>0.5</v>
      </c>
      <c r="X187" s="95">
        <v>0.2</v>
      </c>
    </row>
    <row r="188" spans="1:24" x14ac:dyDescent="0.2">
      <c r="B188" s="118"/>
      <c r="C188" s="8" t="s">
        <v>166</v>
      </c>
      <c r="D188" s="15" t="s">
        <v>188</v>
      </c>
      <c r="E188" s="34">
        <f t="shared" ref="E188:E191" si="85">+K188</f>
        <v>8.8000000000000007</v>
      </c>
      <c r="F188" s="35">
        <f t="shared" ref="F188:F191" si="86">+M188</f>
        <v>7</v>
      </c>
      <c r="G188" s="23">
        <f t="shared" si="82"/>
        <v>6.79</v>
      </c>
      <c r="H188" s="24">
        <f t="shared" si="82"/>
        <v>6.6499999999999995</v>
      </c>
      <c r="I188" s="25">
        <f t="shared" si="82"/>
        <v>6.58</v>
      </c>
      <c r="K188" s="99">
        <v>8.8000000000000007</v>
      </c>
      <c r="L188" s="76">
        <f t="shared" si="64"/>
        <v>7</v>
      </c>
      <c r="M188" s="99">
        <v>7</v>
      </c>
      <c r="N188" s="76">
        <f t="shared" si="65"/>
        <v>5</v>
      </c>
      <c r="O188" s="88"/>
      <c r="P188" s="97" t="s">
        <v>312</v>
      </c>
      <c r="Q188" s="96">
        <v>3.8</v>
      </c>
      <c r="R188" s="95"/>
      <c r="S188" s="95"/>
      <c r="T188" s="95">
        <f t="shared" si="62"/>
        <v>3.8</v>
      </c>
      <c r="U188" s="95"/>
      <c r="V188" s="95">
        <f t="shared" si="63"/>
        <v>3.8</v>
      </c>
      <c r="W188" s="95">
        <v>0.4</v>
      </c>
      <c r="X188" s="95">
        <v>0.27</v>
      </c>
    </row>
    <row r="189" spans="1:24" x14ac:dyDescent="0.2">
      <c r="B189" s="116"/>
      <c r="C189" s="6" t="s">
        <v>167</v>
      </c>
      <c r="D189" s="12" t="s">
        <v>188</v>
      </c>
      <c r="E189" s="34">
        <f t="shared" si="85"/>
        <v>11.4</v>
      </c>
      <c r="F189" s="35">
        <f t="shared" si="86"/>
        <v>9.6</v>
      </c>
      <c r="G189" s="23">
        <f t="shared" si="82"/>
        <v>9.3119999999999994</v>
      </c>
      <c r="H189" s="24">
        <f t="shared" si="82"/>
        <v>9.1199999999999992</v>
      </c>
      <c r="I189" s="25">
        <f t="shared" si="82"/>
        <v>9.0239999999999991</v>
      </c>
      <c r="K189" s="99">
        <v>11.4</v>
      </c>
      <c r="L189" s="76">
        <f t="shared" si="64"/>
        <v>9</v>
      </c>
      <c r="M189" s="99">
        <v>9.6</v>
      </c>
      <c r="N189" s="76">
        <f t="shared" si="65"/>
        <v>8</v>
      </c>
      <c r="O189" s="88"/>
      <c r="P189" s="97" t="s">
        <v>312</v>
      </c>
      <c r="Q189" s="96">
        <v>5.09</v>
      </c>
      <c r="R189" s="95"/>
      <c r="S189" s="95"/>
      <c r="T189" s="95">
        <f t="shared" si="62"/>
        <v>5.09</v>
      </c>
      <c r="U189" s="95"/>
      <c r="V189" s="95">
        <f t="shared" si="63"/>
        <v>5.09</v>
      </c>
      <c r="W189" s="95">
        <v>0.51</v>
      </c>
      <c r="X189" s="95">
        <v>0.18</v>
      </c>
    </row>
    <row r="190" spans="1:24" x14ac:dyDescent="0.2">
      <c r="B190" s="116"/>
      <c r="C190" s="6" t="s">
        <v>168</v>
      </c>
      <c r="D190" s="12" t="s">
        <v>188</v>
      </c>
      <c r="E190" s="34">
        <f t="shared" si="85"/>
        <v>4.5999999999999996</v>
      </c>
      <c r="F190" s="35">
        <f t="shared" si="86"/>
        <v>4</v>
      </c>
      <c r="G190" s="23">
        <f t="shared" si="82"/>
        <v>3.88</v>
      </c>
      <c r="H190" s="24">
        <f t="shared" si="82"/>
        <v>3.8</v>
      </c>
      <c r="I190" s="25">
        <f t="shared" si="82"/>
        <v>3.76</v>
      </c>
      <c r="K190" s="99">
        <v>4.5999999999999996</v>
      </c>
      <c r="L190" s="76">
        <f t="shared" si="64"/>
        <v>4</v>
      </c>
      <c r="M190" s="99">
        <v>4</v>
      </c>
      <c r="N190" s="76">
        <f t="shared" si="65"/>
        <v>3</v>
      </c>
      <c r="O190" s="88"/>
      <c r="P190" s="97" t="s">
        <v>312</v>
      </c>
      <c r="Q190" s="96">
        <v>2.65</v>
      </c>
      <c r="R190" s="95"/>
      <c r="S190" s="95"/>
      <c r="T190" s="95">
        <f t="shared" si="62"/>
        <v>2.65</v>
      </c>
      <c r="U190" s="95"/>
      <c r="V190" s="95">
        <f t="shared" si="63"/>
        <v>2.65</v>
      </c>
      <c r="W190" s="95">
        <v>0.24</v>
      </c>
      <c r="X190" s="95">
        <v>0.12</v>
      </c>
    </row>
    <row r="191" spans="1:24" x14ac:dyDescent="0.2">
      <c r="B191" s="116"/>
      <c r="C191" s="6" t="s">
        <v>169</v>
      </c>
      <c r="D191" s="12" t="s">
        <v>188</v>
      </c>
      <c r="E191" s="34">
        <f t="shared" si="85"/>
        <v>5.2</v>
      </c>
      <c r="F191" s="35">
        <f t="shared" si="86"/>
        <v>4.4000000000000004</v>
      </c>
      <c r="G191" s="23">
        <f t="shared" si="82"/>
        <v>4.2679999999999998</v>
      </c>
      <c r="H191" s="24">
        <f t="shared" si="82"/>
        <v>4.18</v>
      </c>
      <c r="I191" s="25">
        <f t="shared" si="82"/>
        <v>4.1360000000000001</v>
      </c>
      <c r="K191" s="99">
        <v>5.2</v>
      </c>
      <c r="L191" s="76">
        <f t="shared" si="64"/>
        <v>4</v>
      </c>
      <c r="M191" s="99">
        <v>4.4000000000000004</v>
      </c>
      <c r="N191" s="76">
        <f t="shared" si="65"/>
        <v>3</v>
      </c>
      <c r="O191" s="88"/>
      <c r="P191" s="97" t="s">
        <v>312</v>
      </c>
      <c r="Q191" s="96">
        <v>2.2999999999999998</v>
      </c>
      <c r="R191" s="95"/>
      <c r="S191" s="95"/>
      <c r="T191" s="95">
        <f t="shared" si="62"/>
        <v>2.2999999999999998</v>
      </c>
      <c r="U191" s="95"/>
      <c r="V191" s="95">
        <f t="shared" si="63"/>
        <v>2.2999999999999998</v>
      </c>
      <c r="W191" s="95">
        <v>0.45</v>
      </c>
      <c r="X191" s="95">
        <v>0.15</v>
      </c>
    </row>
    <row r="192" spans="1:24" x14ac:dyDescent="0.2">
      <c r="B192" s="122"/>
      <c r="C192" s="6" t="s">
        <v>170</v>
      </c>
      <c r="D192" s="12" t="s">
        <v>188</v>
      </c>
      <c r="E192" s="34">
        <f>+K192</f>
        <v>4</v>
      </c>
      <c r="F192" s="35">
        <f>+M192</f>
        <v>3.4</v>
      </c>
      <c r="G192" s="23">
        <f t="shared" si="82"/>
        <v>3.298</v>
      </c>
      <c r="H192" s="24">
        <f t="shared" si="82"/>
        <v>3.23</v>
      </c>
      <c r="I192" s="25">
        <f t="shared" si="82"/>
        <v>3.1959999999999997</v>
      </c>
      <c r="K192" s="99">
        <v>4</v>
      </c>
      <c r="L192" s="76">
        <f t="shared" si="64"/>
        <v>0</v>
      </c>
      <c r="M192" s="99">
        <v>3.4</v>
      </c>
      <c r="N192" s="76">
        <f t="shared" si="65"/>
        <v>0</v>
      </c>
      <c r="O192" s="88"/>
      <c r="P192" s="94" t="s">
        <v>354</v>
      </c>
      <c r="Q192" s="95"/>
      <c r="R192" s="95"/>
      <c r="S192" s="95"/>
      <c r="T192" s="95">
        <f t="shared" si="62"/>
        <v>0</v>
      </c>
      <c r="U192" s="95"/>
      <c r="V192" s="95">
        <f t="shared" si="63"/>
        <v>0</v>
      </c>
      <c r="W192" s="95">
        <v>0.4</v>
      </c>
      <c r="X192" s="95">
        <v>0.18</v>
      </c>
    </row>
    <row r="193" spans="1:24" x14ac:dyDescent="0.2">
      <c r="B193" s="116"/>
      <c r="C193" s="6" t="s">
        <v>171</v>
      </c>
      <c r="D193" s="12" t="s">
        <v>188</v>
      </c>
      <c r="E193" s="34">
        <f t="shared" ref="E193:E195" si="87">+K193</f>
        <v>3.6</v>
      </c>
      <c r="F193" s="35">
        <f t="shared" ref="F193:F195" si="88">+M193</f>
        <v>3</v>
      </c>
      <c r="G193" s="23">
        <f t="shared" si="82"/>
        <v>2.91</v>
      </c>
      <c r="H193" s="24">
        <f t="shared" si="82"/>
        <v>2.8499999999999996</v>
      </c>
      <c r="I193" s="25">
        <f t="shared" si="82"/>
        <v>2.82</v>
      </c>
      <c r="K193" s="99">
        <v>3.6</v>
      </c>
      <c r="L193" s="76">
        <f t="shared" si="64"/>
        <v>3</v>
      </c>
      <c r="M193" s="99">
        <v>3</v>
      </c>
      <c r="N193" s="76">
        <f t="shared" si="65"/>
        <v>3</v>
      </c>
      <c r="O193" s="88"/>
      <c r="P193" s="97" t="s">
        <v>312</v>
      </c>
      <c r="Q193" s="96">
        <v>1.99</v>
      </c>
      <c r="R193" s="95"/>
      <c r="S193" s="95"/>
      <c r="T193" s="95">
        <f t="shared" si="62"/>
        <v>1.99</v>
      </c>
      <c r="U193" s="95"/>
      <c r="V193" s="95">
        <f t="shared" si="63"/>
        <v>1.99</v>
      </c>
      <c r="W193" s="95">
        <v>0.25</v>
      </c>
      <c r="X193" s="95">
        <v>0.15</v>
      </c>
    </row>
    <row r="194" spans="1:24" x14ac:dyDescent="0.2">
      <c r="B194" s="116"/>
      <c r="C194" s="6" t="s">
        <v>172</v>
      </c>
      <c r="D194" s="12" t="s">
        <v>188</v>
      </c>
      <c r="E194" s="34">
        <f t="shared" si="87"/>
        <v>11.8</v>
      </c>
      <c r="F194" s="35">
        <f t="shared" si="88"/>
        <v>10.199999999999999</v>
      </c>
      <c r="G194" s="23">
        <f t="shared" si="82"/>
        <v>9.8939999999999984</v>
      </c>
      <c r="H194" s="24">
        <f t="shared" si="82"/>
        <v>9.69</v>
      </c>
      <c r="I194" s="25">
        <f t="shared" si="82"/>
        <v>9.5879999999999992</v>
      </c>
      <c r="K194" s="99">
        <v>11.8</v>
      </c>
      <c r="L194" s="76">
        <f t="shared" si="64"/>
        <v>33</v>
      </c>
      <c r="M194" s="99">
        <v>10.199999999999999</v>
      </c>
      <c r="N194" s="76">
        <f t="shared" si="65"/>
        <v>29</v>
      </c>
      <c r="O194" s="88"/>
      <c r="P194" s="97" t="s">
        <v>312</v>
      </c>
      <c r="Q194" s="96">
        <v>18.87</v>
      </c>
      <c r="R194" s="95"/>
      <c r="S194" s="95"/>
      <c r="T194" s="95">
        <f t="shared" si="62"/>
        <v>18.87</v>
      </c>
      <c r="U194" s="95"/>
      <c r="V194" s="95">
        <f t="shared" si="63"/>
        <v>18.87</v>
      </c>
      <c r="W194" s="95">
        <v>0.47</v>
      </c>
      <c r="X194" s="95">
        <v>0.15</v>
      </c>
    </row>
    <row r="195" spans="1:24" x14ac:dyDescent="0.2">
      <c r="A195" s="60"/>
      <c r="B195" s="117"/>
      <c r="C195" s="6" t="s">
        <v>173</v>
      </c>
      <c r="D195" s="12" t="s">
        <v>188</v>
      </c>
      <c r="E195" s="34">
        <f t="shared" si="87"/>
        <v>19.600000000000001</v>
      </c>
      <c r="F195" s="35">
        <f t="shared" si="88"/>
        <v>17</v>
      </c>
      <c r="G195" s="23">
        <f t="shared" si="82"/>
        <v>16.489999999999998</v>
      </c>
      <c r="H195" s="24">
        <f t="shared" si="82"/>
        <v>16.149999999999999</v>
      </c>
      <c r="I195" s="25">
        <f t="shared" si="82"/>
        <v>15.979999999999999</v>
      </c>
      <c r="K195" s="99">
        <v>19.600000000000001</v>
      </c>
      <c r="L195" s="76">
        <f t="shared" si="64"/>
        <v>21</v>
      </c>
      <c r="M195" s="99">
        <v>17</v>
      </c>
      <c r="N195" s="76">
        <f t="shared" si="65"/>
        <v>18</v>
      </c>
      <c r="O195" s="88"/>
      <c r="P195" s="97" t="s">
        <v>312</v>
      </c>
      <c r="Q195" s="96">
        <v>14.84</v>
      </c>
      <c r="R195" s="95"/>
      <c r="S195" s="95"/>
      <c r="T195" s="95">
        <f t="shared" si="62"/>
        <v>14.84</v>
      </c>
      <c r="U195" s="95"/>
      <c r="V195" s="95">
        <f t="shared" si="63"/>
        <v>14.84</v>
      </c>
      <c r="W195" s="95">
        <v>0.2</v>
      </c>
      <c r="X195" s="95">
        <v>0.15</v>
      </c>
    </row>
    <row r="196" spans="1:24" x14ac:dyDescent="0.2">
      <c r="A196" s="20"/>
      <c r="B196" s="20"/>
      <c r="C196" s="2" t="s">
        <v>231</v>
      </c>
      <c r="D196" s="14"/>
      <c r="E196" s="48"/>
      <c r="F196" s="48"/>
      <c r="G196" s="48"/>
      <c r="H196" s="48"/>
      <c r="I196" s="48"/>
      <c r="K196" s="78"/>
      <c r="L196" s="76"/>
      <c r="M196" s="78"/>
      <c r="N196" s="76"/>
      <c r="O196" s="88"/>
      <c r="T196" s="1">
        <f t="shared" si="62"/>
        <v>0</v>
      </c>
      <c r="V196" s="1">
        <f t="shared" si="63"/>
        <v>0</v>
      </c>
    </row>
    <row r="197" spans="1:24" x14ac:dyDescent="0.2">
      <c r="A197" s="61"/>
      <c r="B197" s="118"/>
      <c r="C197" s="8" t="s">
        <v>232</v>
      </c>
      <c r="D197" s="13" t="s">
        <v>188</v>
      </c>
      <c r="E197" s="34">
        <f t="shared" ref="E197:E212" si="89">L197</f>
        <v>127.07799999999999</v>
      </c>
      <c r="F197" s="35">
        <f t="shared" ref="F197:F212" si="90">N197</f>
        <v>90.77</v>
      </c>
      <c r="G197" s="23">
        <f>+F197</f>
        <v>90.77</v>
      </c>
      <c r="H197" s="24">
        <f>+G197</f>
        <v>90.77</v>
      </c>
      <c r="I197" s="25">
        <f>+H197</f>
        <v>90.77</v>
      </c>
      <c r="K197" s="79">
        <v>96.98</v>
      </c>
      <c r="L197" s="99">
        <f>+N197*1.4</f>
        <v>127.07799999999999</v>
      </c>
      <c r="M197" s="79">
        <v>80.819999999999993</v>
      </c>
      <c r="N197" s="99">
        <v>90.77</v>
      </c>
      <c r="O197" s="88"/>
      <c r="P197" s="97" t="s">
        <v>325</v>
      </c>
      <c r="Q197" s="96">
        <v>73.75</v>
      </c>
      <c r="R197" s="95"/>
      <c r="S197" s="95"/>
      <c r="T197" s="95">
        <f t="shared" si="62"/>
        <v>73.75</v>
      </c>
      <c r="U197" s="95"/>
      <c r="V197" s="95">
        <f t="shared" si="63"/>
        <v>73.75</v>
      </c>
      <c r="W197" s="98" t="s">
        <v>342</v>
      </c>
      <c r="X197" s="98" t="s">
        <v>343</v>
      </c>
    </row>
    <row r="198" spans="1:24" x14ac:dyDescent="0.2">
      <c r="A198" s="61"/>
      <c r="B198" s="118"/>
      <c r="C198" s="8" t="s">
        <v>233</v>
      </c>
      <c r="D198" s="12" t="s">
        <v>188</v>
      </c>
      <c r="E198" s="34">
        <f t="shared" si="89"/>
        <v>158.35399999999998</v>
      </c>
      <c r="F198" s="35">
        <f t="shared" si="90"/>
        <v>113.11</v>
      </c>
      <c r="G198" s="23">
        <f t="shared" ref="G198:I211" si="91">+F198</f>
        <v>113.11</v>
      </c>
      <c r="H198" s="24">
        <f t="shared" si="91"/>
        <v>113.11</v>
      </c>
      <c r="I198" s="25">
        <f t="shared" si="91"/>
        <v>113.11</v>
      </c>
      <c r="K198" s="79">
        <v>118.28</v>
      </c>
      <c r="L198" s="99">
        <f t="shared" ref="L198:L212" si="92">+N198*1.4</f>
        <v>158.35399999999998</v>
      </c>
      <c r="M198" s="79">
        <v>98.57</v>
      </c>
      <c r="N198" s="99">
        <v>113.11</v>
      </c>
      <c r="O198" s="88"/>
      <c r="P198" s="97" t="s">
        <v>325</v>
      </c>
      <c r="Q198" s="96">
        <v>86.25</v>
      </c>
      <c r="R198" s="95"/>
      <c r="S198" s="95"/>
      <c r="T198" s="95">
        <f t="shared" si="62"/>
        <v>86.25</v>
      </c>
      <c r="U198" s="95"/>
      <c r="V198" s="95">
        <f t="shared" si="63"/>
        <v>86.25</v>
      </c>
      <c r="W198" s="98" t="s">
        <v>342</v>
      </c>
      <c r="X198" s="98" t="s">
        <v>343</v>
      </c>
    </row>
    <row r="199" spans="1:24" x14ac:dyDescent="0.2">
      <c r="A199" s="61"/>
      <c r="B199" s="118"/>
      <c r="C199" s="8" t="s">
        <v>234</v>
      </c>
      <c r="D199" s="15" t="s">
        <v>188</v>
      </c>
      <c r="E199" s="34">
        <f t="shared" si="89"/>
        <v>127.07799999999999</v>
      </c>
      <c r="F199" s="35">
        <f t="shared" si="90"/>
        <v>90.77</v>
      </c>
      <c r="G199" s="23">
        <f t="shared" si="91"/>
        <v>90.77</v>
      </c>
      <c r="H199" s="24">
        <f t="shared" si="91"/>
        <v>90.77</v>
      </c>
      <c r="I199" s="25">
        <f t="shared" si="91"/>
        <v>90.77</v>
      </c>
      <c r="K199" s="79">
        <v>101.15</v>
      </c>
      <c r="L199" s="99">
        <f t="shared" si="92"/>
        <v>127.07799999999999</v>
      </c>
      <c r="M199" s="79">
        <v>84.29</v>
      </c>
      <c r="N199" s="99">
        <v>90.77</v>
      </c>
      <c r="O199" s="88"/>
      <c r="P199" s="97" t="s">
        <v>325</v>
      </c>
      <c r="Q199" s="96">
        <v>73.75</v>
      </c>
      <c r="R199" s="95"/>
      <c r="S199" s="95"/>
      <c r="T199" s="95">
        <f t="shared" si="62"/>
        <v>73.75</v>
      </c>
      <c r="U199" s="95"/>
      <c r="V199" s="95">
        <f t="shared" si="63"/>
        <v>73.75</v>
      </c>
      <c r="W199" s="98" t="s">
        <v>342</v>
      </c>
      <c r="X199" s="98" t="s">
        <v>343</v>
      </c>
    </row>
    <row r="200" spans="1:24" x14ac:dyDescent="0.2">
      <c r="A200" s="61"/>
      <c r="B200" s="118"/>
      <c r="C200" s="8" t="s">
        <v>235</v>
      </c>
      <c r="D200" s="12" t="s">
        <v>188</v>
      </c>
      <c r="E200" s="34">
        <f t="shared" si="89"/>
        <v>9.5060000000000002</v>
      </c>
      <c r="F200" s="35">
        <f t="shared" si="90"/>
        <v>6.79</v>
      </c>
      <c r="G200" s="23">
        <f t="shared" si="91"/>
        <v>6.79</v>
      </c>
      <c r="H200" s="24">
        <f t="shared" si="91"/>
        <v>6.79</v>
      </c>
      <c r="I200" s="25">
        <f t="shared" si="91"/>
        <v>6.79</v>
      </c>
      <c r="K200" s="79">
        <v>6.37</v>
      </c>
      <c r="L200" s="99">
        <f t="shared" si="92"/>
        <v>9.5060000000000002</v>
      </c>
      <c r="M200" s="79">
        <v>5.31</v>
      </c>
      <c r="N200" s="99">
        <v>6.79</v>
      </c>
      <c r="O200" s="88"/>
      <c r="P200" s="97" t="s">
        <v>325</v>
      </c>
      <c r="Q200" s="96">
        <v>4.8517999999999999</v>
      </c>
      <c r="R200" s="95"/>
      <c r="S200" s="95"/>
      <c r="T200" s="95">
        <f t="shared" si="62"/>
        <v>4.8517999999999999</v>
      </c>
      <c r="U200" s="95"/>
      <c r="V200" s="95">
        <f t="shared" si="63"/>
        <v>4.8517999999999999</v>
      </c>
      <c r="W200" s="98" t="s">
        <v>342</v>
      </c>
      <c r="X200" s="98" t="s">
        <v>343</v>
      </c>
    </row>
    <row r="201" spans="1:24" x14ac:dyDescent="0.2">
      <c r="A201" s="61"/>
      <c r="B201" s="118"/>
      <c r="C201" s="8" t="s">
        <v>236</v>
      </c>
      <c r="D201" s="12" t="s">
        <v>188</v>
      </c>
      <c r="E201" s="34">
        <f t="shared" si="89"/>
        <v>9.8559999999999999</v>
      </c>
      <c r="F201" s="35">
        <f t="shared" si="90"/>
        <v>7.04</v>
      </c>
      <c r="G201" s="23">
        <f t="shared" si="91"/>
        <v>7.04</v>
      </c>
      <c r="H201" s="24">
        <f t="shared" si="91"/>
        <v>7.04</v>
      </c>
      <c r="I201" s="25">
        <f t="shared" si="91"/>
        <v>7.04</v>
      </c>
      <c r="K201" s="79">
        <v>6.37</v>
      </c>
      <c r="L201" s="99">
        <f t="shared" si="92"/>
        <v>9.8559999999999999</v>
      </c>
      <c r="M201" s="79">
        <v>5.31</v>
      </c>
      <c r="N201" s="99">
        <v>7.04</v>
      </c>
      <c r="O201" s="88"/>
      <c r="P201" s="97" t="s">
        <v>325</v>
      </c>
      <c r="Q201" s="96">
        <v>5.1993</v>
      </c>
      <c r="R201" s="95"/>
      <c r="S201" s="95"/>
      <c r="T201" s="95">
        <f t="shared" ref="T201:T227" si="93">SUM(Q201:S201)</f>
        <v>5.1993</v>
      </c>
      <c r="U201" s="95"/>
      <c r="V201" s="95">
        <f t="shared" ref="V201:V227" si="94">+T201*(1+U201)</f>
        <v>5.1993</v>
      </c>
      <c r="W201" s="98" t="s">
        <v>342</v>
      </c>
      <c r="X201" s="98" t="s">
        <v>343</v>
      </c>
    </row>
    <row r="202" spans="1:24" x14ac:dyDescent="0.2">
      <c r="A202" s="61"/>
      <c r="B202" s="118"/>
      <c r="C202" s="8" t="s">
        <v>237</v>
      </c>
      <c r="D202" s="12" t="s">
        <v>188</v>
      </c>
      <c r="E202" s="34">
        <f t="shared" si="89"/>
        <v>18.2</v>
      </c>
      <c r="F202" s="35">
        <f t="shared" si="90"/>
        <v>13</v>
      </c>
      <c r="G202" s="23">
        <f t="shared" si="91"/>
        <v>13</v>
      </c>
      <c r="H202" s="24">
        <f t="shared" si="91"/>
        <v>13</v>
      </c>
      <c r="I202" s="25">
        <f t="shared" si="91"/>
        <v>13</v>
      </c>
      <c r="K202" s="79">
        <v>18.18</v>
      </c>
      <c r="L202" s="99">
        <f t="shared" si="92"/>
        <v>18.2</v>
      </c>
      <c r="M202" s="79">
        <v>15.15</v>
      </c>
      <c r="N202" s="99">
        <v>13</v>
      </c>
      <c r="O202" s="88"/>
      <c r="P202" s="97" t="s">
        <v>325</v>
      </c>
      <c r="Q202" s="96">
        <v>7.8</v>
      </c>
      <c r="R202" s="95"/>
      <c r="S202" s="95"/>
      <c r="T202" s="95">
        <f t="shared" si="93"/>
        <v>7.8</v>
      </c>
      <c r="U202" s="95"/>
      <c r="V202" s="95">
        <f t="shared" si="94"/>
        <v>7.8</v>
      </c>
      <c r="W202" s="98" t="s">
        <v>342</v>
      </c>
      <c r="X202" s="98" t="s">
        <v>343</v>
      </c>
    </row>
    <row r="203" spans="1:24" x14ac:dyDescent="0.2">
      <c r="A203" s="61"/>
      <c r="B203" s="118"/>
      <c r="C203" s="8" t="s">
        <v>238</v>
      </c>
      <c r="D203" s="12" t="s">
        <v>188</v>
      </c>
      <c r="E203" s="34">
        <f t="shared" si="89"/>
        <v>9.8139999999999983</v>
      </c>
      <c r="F203" s="35">
        <f t="shared" si="90"/>
        <v>7.01</v>
      </c>
      <c r="G203" s="23">
        <f t="shared" si="91"/>
        <v>7.01</v>
      </c>
      <c r="H203" s="24">
        <f t="shared" si="91"/>
        <v>7.01</v>
      </c>
      <c r="I203" s="25">
        <f t="shared" si="91"/>
        <v>7.01</v>
      </c>
      <c r="K203" s="79">
        <v>10.67</v>
      </c>
      <c r="L203" s="99">
        <f t="shared" si="92"/>
        <v>9.8139999999999983</v>
      </c>
      <c r="M203" s="79">
        <v>8.89</v>
      </c>
      <c r="N203" s="99">
        <v>7.01</v>
      </c>
      <c r="O203" s="88"/>
      <c r="P203" s="97" t="s">
        <v>325</v>
      </c>
      <c r="Q203" s="96">
        <v>4.6399999999999997</v>
      </c>
      <c r="R203" s="95"/>
      <c r="S203" s="95"/>
      <c r="T203" s="95">
        <f t="shared" si="93"/>
        <v>4.6399999999999997</v>
      </c>
      <c r="U203" s="95"/>
      <c r="V203" s="95">
        <f t="shared" si="94"/>
        <v>4.6399999999999997</v>
      </c>
      <c r="W203" s="98" t="s">
        <v>342</v>
      </c>
      <c r="X203" s="98" t="s">
        <v>343</v>
      </c>
    </row>
    <row r="204" spans="1:24" x14ac:dyDescent="0.2">
      <c r="A204" s="61"/>
      <c r="B204" s="118"/>
      <c r="C204" s="8" t="s">
        <v>245</v>
      </c>
      <c r="D204" s="12" t="s">
        <v>188</v>
      </c>
      <c r="E204" s="34">
        <f t="shared" si="89"/>
        <v>13.103999999999999</v>
      </c>
      <c r="F204" s="35">
        <f t="shared" si="90"/>
        <v>9.36</v>
      </c>
      <c r="G204" s="23">
        <f t="shared" si="91"/>
        <v>9.36</v>
      </c>
      <c r="H204" s="24">
        <f t="shared" si="91"/>
        <v>9.36</v>
      </c>
      <c r="I204" s="25">
        <f t="shared" si="91"/>
        <v>9.36</v>
      </c>
      <c r="K204" s="79">
        <v>9.61</v>
      </c>
      <c r="L204" s="99">
        <f t="shared" si="92"/>
        <v>13.103999999999999</v>
      </c>
      <c r="M204" s="79">
        <v>8.01</v>
      </c>
      <c r="N204" s="99">
        <v>9.36</v>
      </c>
      <c r="O204" s="88"/>
      <c r="P204" s="97" t="s">
        <v>325</v>
      </c>
      <c r="Q204" s="96">
        <v>7.5255000000000001</v>
      </c>
      <c r="R204" s="95"/>
      <c r="S204" s="95"/>
      <c r="T204" s="95">
        <f t="shared" si="93"/>
        <v>7.5255000000000001</v>
      </c>
      <c r="U204" s="95"/>
      <c r="V204" s="95">
        <f t="shared" si="94"/>
        <v>7.5255000000000001</v>
      </c>
      <c r="W204" s="98" t="s">
        <v>342</v>
      </c>
      <c r="X204" s="98" t="s">
        <v>343</v>
      </c>
    </row>
    <row r="205" spans="1:24" x14ac:dyDescent="0.2">
      <c r="A205" s="61"/>
      <c r="B205" s="118"/>
      <c r="C205" s="8" t="s">
        <v>246</v>
      </c>
      <c r="D205" s="12" t="s">
        <v>188</v>
      </c>
      <c r="E205" s="34">
        <f t="shared" si="89"/>
        <v>19.207999999999998</v>
      </c>
      <c r="F205" s="35">
        <f t="shared" si="90"/>
        <v>13.72</v>
      </c>
      <c r="G205" s="23">
        <f t="shared" si="91"/>
        <v>13.72</v>
      </c>
      <c r="H205" s="24">
        <f t="shared" si="91"/>
        <v>13.72</v>
      </c>
      <c r="I205" s="25">
        <f t="shared" si="91"/>
        <v>13.72</v>
      </c>
      <c r="K205" s="79">
        <v>13.13</v>
      </c>
      <c r="L205" s="99">
        <f t="shared" si="92"/>
        <v>19.207999999999998</v>
      </c>
      <c r="M205" s="79">
        <v>10.94</v>
      </c>
      <c r="N205" s="99">
        <v>13.72</v>
      </c>
      <c r="O205" s="88"/>
      <c r="P205" s="97" t="s">
        <v>325</v>
      </c>
      <c r="Q205" s="96">
        <v>9.4324999999999992</v>
      </c>
      <c r="R205" s="95"/>
      <c r="S205" s="95"/>
      <c r="T205" s="95">
        <f t="shared" si="93"/>
        <v>9.4324999999999992</v>
      </c>
      <c r="U205" s="95"/>
      <c r="V205" s="95">
        <f t="shared" si="94"/>
        <v>9.4324999999999992</v>
      </c>
      <c r="W205" s="98" t="s">
        <v>342</v>
      </c>
      <c r="X205" s="98" t="s">
        <v>343</v>
      </c>
    </row>
    <row r="206" spans="1:24" x14ac:dyDescent="0.2">
      <c r="A206" s="61"/>
      <c r="B206" s="118"/>
      <c r="C206" s="8" t="s">
        <v>247</v>
      </c>
      <c r="D206" s="12" t="s">
        <v>188</v>
      </c>
      <c r="E206" s="34">
        <f t="shared" si="89"/>
        <v>11.536</v>
      </c>
      <c r="F206" s="35">
        <f t="shared" si="90"/>
        <v>8.24</v>
      </c>
      <c r="G206" s="23">
        <f t="shared" si="91"/>
        <v>8.24</v>
      </c>
      <c r="H206" s="24">
        <f t="shared" si="91"/>
        <v>8.24</v>
      </c>
      <c r="I206" s="25">
        <f t="shared" si="91"/>
        <v>8.24</v>
      </c>
      <c r="K206" s="79">
        <v>7.74</v>
      </c>
      <c r="L206" s="99">
        <f t="shared" si="92"/>
        <v>11.536</v>
      </c>
      <c r="M206" s="79">
        <v>6.45</v>
      </c>
      <c r="N206" s="99">
        <v>8.24</v>
      </c>
      <c r="O206" s="88"/>
      <c r="P206" s="97" t="s">
        <v>325</v>
      </c>
      <c r="Q206" s="96">
        <v>6.1607000000000003</v>
      </c>
      <c r="R206" s="95"/>
      <c r="S206" s="95"/>
      <c r="T206" s="95">
        <f t="shared" si="93"/>
        <v>6.1607000000000003</v>
      </c>
      <c r="U206" s="95"/>
      <c r="V206" s="95">
        <f t="shared" si="94"/>
        <v>6.1607000000000003</v>
      </c>
      <c r="W206" s="98" t="s">
        <v>342</v>
      </c>
      <c r="X206" s="98" t="s">
        <v>343</v>
      </c>
    </row>
    <row r="207" spans="1:24" x14ac:dyDescent="0.2">
      <c r="A207" s="61"/>
      <c r="B207" s="118"/>
      <c r="C207" s="8" t="s">
        <v>244</v>
      </c>
      <c r="D207" s="12" t="s">
        <v>188</v>
      </c>
      <c r="E207" s="34">
        <f t="shared" si="89"/>
        <v>42.966000000000001</v>
      </c>
      <c r="F207" s="35">
        <f t="shared" si="90"/>
        <v>30.69</v>
      </c>
      <c r="G207" s="23">
        <f t="shared" si="91"/>
        <v>30.69</v>
      </c>
      <c r="H207" s="24">
        <f t="shared" si="91"/>
        <v>30.69</v>
      </c>
      <c r="I207" s="25">
        <f t="shared" si="91"/>
        <v>30.69</v>
      </c>
      <c r="K207" s="79">
        <v>28.28</v>
      </c>
      <c r="L207" s="99">
        <f t="shared" si="92"/>
        <v>42.966000000000001</v>
      </c>
      <c r="M207" s="79">
        <v>23.57</v>
      </c>
      <c r="N207" s="99">
        <v>30.69</v>
      </c>
      <c r="O207" s="88"/>
      <c r="P207" s="97" t="s">
        <v>325</v>
      </c>
      <c r="Q207" s="96">
        <v>22.057099999999998</v>
      </c>
      <c r="R207" s="95"/>
      <c r="S207" s="95"/>
      <c r="T207" s="95">
        <f t="shared" si="93"/>
        <v>22.057099999999998</v>
      </c>
      <c r="U207" s="95"/>
      <c r="V207" s="95">
        <f t="shared" si="94"/>
        <v>22.057099999999998</v>
      </c>
      <c r="W207" s="98" t="s">
        <v>342</v>
      </c>
      <c r="X207" s="98" t="s">
        <v>343</v>
      </c>
    </row>
    <row r="208" spans="1:24" x14ac:dyDescent="0.2">
      <c r="A208" s="61"/>
      <c r="B208" s="118"/>
      <c r="C208" s="8" t="s">
        <v>243</v>
      </c>
      <c r="D208" s="12" t="s">
        <v>188</v>
      </c>
      <c r="E208" s="34">
        <f t="shared" si="89"/>
        <v>24.527999999999999</v>
      </c>
      <c r="F208" s="35">
        <f t="shared" si="90"/>
        <v>17.52</v>
      </c>
      <c r="G208" s="23">
        <f t="shared" si="91"/>
        <v>17.52</v>
      </c>
      <c r="H208" s="24">
        <f t="shared" si="91"/>
        <v>17.52</v>
      </c>
      <c r="I208" s="25">
        <f t="shared" si="91"/>
        <v>17.52</v>
      </c>
      <c r="K208" s="79">
        <v>19.21</v>
      </c>
      <c r="L208" s="99">
        <f t="shared" si="92"/>
        <v>24.527999999999999</v>
      </c>
      <c r="M208" s="79">
        <v>16.010000000000002</v>
      </c>
      <c r="N208" s="99">
        <v>17.52</v>
      </c>
      <c r="O208" s="88"/>
      <c r="P208" s="97" t="s">
        <v>325</v>
      </c>
      <c r="Q208" s="96">
        <v>10.95</v>
      </c>
      <c r="R208" s="95"/>
      <c r="S208" s="95"/>
      <c r="T208" s="95">
        <f t="shared" si="93"/>
        <v>10.95</v>
      </c>
      <c r="U208" s="95"/>
      <c r="V208" s="95">
        <f t="shared" si="94"/>
        <v>10.95</v>
      </c>
      <c r="W208" s="98" t="s">
        <v>342</v>
      </c>
      <c r="X208" s="98" t="s">
        <v>343</v>
      </c>
    </row>
    <row r="209" spans="1:24" x14ac:dyDescent="0.2">
      <c r="A209" s="61"/>
      <c r="B209" s="118"/>
      <c r="C209" s="8" t="s">
        <v>242</v>
      </c>
      <c r="D209" s="12" t="s">
        <v>188</v>
      </c>
      <c r="E209" s="34">
        <f t="shared" si="89"/>
        <v>32.997999999999998</v>
      </c>
      <c r="F209" s="35">
        <f t="shared" si="90"/>
        <v>23.57</v>
      </c>
      <c r="G209" s="23">
        <f t="shared" si="91"/>
        <v>23.57</v>
      </c>
      <c r="H209" s="24">
        <f t="shared" si="91"/>
        <v>23.57</v>
      </c>
      <c r="I209" s="25">
        <f t="shared" si="91"/>
        <v>23.57</v>
      </c>
      <c r="K209" s="79">
        <v>34.06</v>
      </c>
      <c r="L209" s="99">
        <f t="shared" si="92"/>
        <v>32.997999999999998</v>
      </c>
      <c r="M209" s="79">
        <v>28.38</v>
      </c>
      <c r="N209" s="99">
        <v>23.57</v>
      </c>
      <c r="O209" s="88"/>
      <c r="P209" s="97" t="s">
        <v>325</v>
      </c>
      <c r="Q209" s="96">
        <v>13.85</v>
      </c>
      <c r="R209" s="95"/>
      <c r="S209" s="95"/>
      <c r="T209" s="95">
        <f t="shared" si="93"/>
        <v>13.85</v>
      </c>
      <c r="U209" s="95"/>
      <c r="V209" s="95">
        <f t="shared" si="94"/>
        <v>13.85</v>
      </c>
      <c r="W209" s="98" t="s">
        <v>342</v>
      </c>
      <c r="X209" s="98" t="s">
        <v>343</v>
      </c>
    </row>
    <row r="210" spans="1:24" x14ac:dyDescent="0.2">
      <c r="A210" s="61"/>
      <c r="B210" s="118"/>
      <c r="C210" s="8" t="s">
        <v>239</v>
      </c>
      <c r="D210" s="12" t="s">
        <v>188</v>
      </c>
      <c r="E210" s="34">
        <f t="shared" si="89"/>
        <v>5.04</v>
      </c>
      <c r="F210" s="35">
        <f t="shared" si="90"/>
        <v>3.6</v>
      </c>
      <c r="G210" s="23">
        <f t="shared" si="91"/>
        <v>3.6</v>
      </c>
      <c r="H210" s="24">
        <f t="shared" si="91"/>
        <v>3.6</v>
      </c>
      <c r="I210" s="25">
        <f t="shared" si="91"/>
        <v>3.6</v>
      </c>
      <c r="K210" s="79">
        <v>3.7</v>
      </c>
      <c r="L210" s="99">
        <f t="shared" si="92"/>
        <v>5.04</v>
      </c>
      <c r="M210" s="79">
        <v>3.08</v>
      </c>
      <c r="N210" s="99">
        <v>3.6</v>
      </c>
      <c r="O210" s="88"/>
      <c r="P210" s="97" t="s">
        <v>325</v>
      </c>
      <c r="Q210" s="96">
        <v>2.6488</v>
      </c>
      <c r="R210" s="95"/>
      <c r="S210" s="95"/>
      <c r="T210" s="95">
        <f t="shared" si="93"/>
        <v>2.6488</v>
      </c>
      <c r="U210" s="95"/>
      <c r="V210" s="95">
        <f t="shared" si="94"/>
        <v>2.6488</v>
      </c>
      <c r="W210" s="98" t="s">
        <v>342</v>
      </c>
      <c r="X210" s="98" t="s">
        <v>343</v>
      </c>
    </row>
    <row r="211" spans="1:24" x14ac:dyDescent="0.2">
      <c r="A211" s="61"/>
      <c r="B211" s="118"/>
      <c r="C211" s="8" t="s">
        <v>241</v>
      </c>
      <c r="D211" s="12" t="s">
        <v>188</v>
      </c>
      <c r="E211" s="34">
        <f t="shared" si="89"/>
        <v>9.2959999999999994</v>
      </c>
      <c r="F211" s="35">
        <f t="shared" si="90"/>
        <v>6.64</v>
      </c>
      <c r="G211" s="23">
        <f t="shared" si="91"/>
        <v>6.64</v>
      </c>
      <c r="H211" s="24">
        <f t="shared" si="91"/>
        <v>6.64</v>
      </c>
      <c r="I211" s="25">
        <f t="shared" si="91"/>
        <v>6.64</v>
      </c>
      <c r="K211" s="79">
        <v>7.97</v>
      </c>
      <c r="L211" s="99">
        <f t="shared" si="92"/>
        <v>9.2959999999999994</v>
      </c>
      <c r="M211" s="79">
        <v>6.64</v>
      </c>
      <c r="N211" s="99">
        <v>6.64</v>
      </c>
      <c r="O211" s="88"/>
      <c r="P211" s="97" t="s">
        <v>325</v>
      </c>
      <c r="Q211" s="96">
        <v>4.3150000000000004</v>
      </c>
      <c r="R211" s="95"/>
      <c r="S211" s="95"/>
      <c r="T211" s="95">
        <f t="shared" si="93"/>
        <v>4.3150000000000004</v>
      </c>
      <c r="U211" s="95"/>
      <c r="V211" s="95">
        <f t="shared" si="94"/>
        <v>4.3150000000000004</v>
      </c>
      <c r="W211" s="98" t="s">
        <v>342</v>
      </c>
      <c r="X211" s="98" t="s">
        <v>343</v>
      </c>
    </row>
    <row r="212" spans="1:24" x14ac:dyDescent="0.2">
      <c r="A212" s="61"/>
      <c r="B212" s="118"/>
      <c r="C212" s="8" t="s">
        <v>240</v>
      </c>
      <c r="D212" s="12" t="s">
        <v>188</v>
      </c>
      <c r="E212" s="34">
        <f t="shared" si="89"/>
        <v>16.295999999999999</v>
      </c>
      <c r="F212" s="35">
        <f t="shared" si="90"/>
        <v>11.64</v>
      </c>
      <c r="G212" s="23">
        <f>+F212</f>
        <v>11.64</v>
      </c>
      <c r="H212" s="24">
        <f>+G212</f>
        <v>11.64</v>
      </c>
      <c r="I212" s="25">
        <f>+H212</f>
        <v>11.64</v>
      </c>
      <c r="K212" s="79">
        <v>13.13</v>
      </c>
      <c r="L212" s="99">
        <f t="shared" si="92"/>
        <v>16.295999999999999</v>
      </c>
      <c r="M212" s="79">
        <v>10.94</v>
      </c>
      <c r="N212" s="99">
        <v>11.64</v>
      </c>
      <c r="O212" s="88"/>
      <c r="P212" s="97" t="s">
        <v>325</v>
      </c>
      <c r="Q212" s="96">
        <v>11.64</v>
      </c>
      <c r="R212" s="95"/>
      <c r="S212" s="95"/>
      <c r="T212" s="95">
        <f t="shared" si="93"/>
        <v>11.64</v>
      </c>
      <c r="U212" s="95"/>
      <c r="V212" s="95">
        <f t="shared" si="94"/>
        <v>11.64</v>
      </c>
      <c r="W212" s="98" t="s">
        <v>342</v>
      </c>
      <c r="X212" s="98" t="s">
        <v>343</v>
      </c>
    </row>
    <row r="213" spans="1:24" x14ac:dyDescent="0.2">
      <c r="A213" s="20"/>
      <c r="B213" s="20"/>
      <c r="C213" s="2" t="s">
        <v>174</v>
      </c>
      <c r="D213" s="14"/>
      <c r="E213" s="48"/>
      <c r="F213" s="48"/>
      <c r="G213" s="48"/>
      <c r="H213" s="48"/>
      <c r="I213" s="48"/>
      <c r="K213" s="78"/>
      <c r="L213" s="76"/>
      <c r="M213" s="78"/>
      <c r="N213" s="76"/>
      <c r="O213" s="88"/>
      <c r="T213" s="1">
        <f t="shared" si="93"/>
        <v>0</v>
      </c>
      <c r="V213" s="1">
        <f t="shared" si="94"/>
        <v>0</v>
      </c>
    </row>
    <row r="214" spans="1:24" x14ac:dyDescent="0.2">
      <c r="A214" s="61"/>
      <c r="B214" s="118"/>
      <c r="C214" s="8" t="s">
        <v>179</v>
      </c>
      <c r="D214" s="15" t="s">
        <v>196</v>
      </c>
      <c r="E214" s="34">
        <f t="shared" ref="E214:E218" si="95">L214</f>
        <v>107</v>
      </c>
      <c r="F214" s="35">
        <f t="shared" ref="F214:F218" si="96">N214</f>
        <v>86</v>
      </c>
      <c r="G214" s="23">
        <f t="shared" ref="G214:I221" si="97">$F214*(1-G$1)</f>
        <v>83.42</v>
      </c>
      <c r="H214" s="24">
        <f t="shared" si="97"/>
        <v>81.7</v>
      </c>
      <c r="I214" s="25">
        <f t="shared" si="97"/>
        <v>80.839999999999989</v>
      </c>
      <c r="K214" s="79">
        <v>167</v>
      </c>
      <c r="L214" s="99">
        <f t="shared" ref="L214:L227" si="98">ROUND(+V214*(1+W214)*(1+X214)*(1+$Q$1),0)</f>
        <v>107</v>
      </c>
      <c r="M214" s="79">
        <v>133</v>
      </c>
      <c r="N214" s="99">
        <f t="shared" ref="N214:N227" si="99">ROUND(+V214*(1+W214)*(1+$Q$1),0)</f>
        <v>86</v>
      </c>
      <c r="O214" s="88"/>
      <c r="P214" s="97" t="s">
        <v>299</v>
      </c>
      <c r="Q214" s="96">
        <v>55</v>
      </c>
      <c r="R214" s="96">
        <f>15/40</f>
        <v>0.375</v>
      </c>
      <c r="S214" s="95"/>
      <c r="T214" s="95">
        <f t="shared" si="93"/>
        <v>55.375</v>
      </c>
      <c r="U214" s="95"/>
      <c r="V214" s="95">
        <f t="shared" si="94"/>
        <v>55.375</v>
      </c>
      <c r="W214" s="95">
        <v>0.5</v>
      </c>
      <c r="X214" s="95">
        <v>0.25</v>
      </c>
    </row>
    <row r="215" spans="1:24" x14ac:dyDescent="0.2">
      <c r="B215" s="118"/>
      <c r="C215" s="8" t="s">
        <v>175</v>
      </c>
      <c r="D215" s="15" t="s">
        <v>196</v>
      </c>
      <c r="E215" s="34">
        <f t="shared" si="95"/>
        <v>179</v>
      </c>
      <c r="F215" s="35">
        <f t="shared" si="96"/>
        <v>143</v>
      </c>
      <c r="G215" s="23">
        <f t="shared" si="97"/>
        <v>138.71</v>
      </c>
      <c r="H215" s="24">
        <f t="shared" si="97"/>
        <v>135.85</v>
      </c>
      <c r="I215" s="25">
        <f t="shared" si="97"/>
        <v>134.41999999999999</v>
      </c>
      <c r="K215" s="79">
        <v>190</v>
      </c>
      <c r="L215" s="99">
        <f t="shared" si="98"/>
        <v>179</v>
      </c>
      <c r="M215" s="79">
        <v>152</v>
      </c>
      <c r="N215" s="99">
        <f t="shared" si="99"/>
        <v>143</v>
      </c>
      <c r="O215" s="88"/>
      <c r="P215" s="97" t="s">
        <v>299</v>
      </c>
      <c r="Q215" s="96">
        <v>92.5</v>
      </c>
      <c r="R215" s="96">
        <f>15/40</f>
        <v>0.375</v>
      </c>
      <c r="S215" s="95"/>
      <c r="T215" s="95">
        <f t="shared" si="93"/>
        <v>92.875</v>
      </c>
      <c r="U215" s="95"/>
      <c r="V215" s="95">
        <f t="shared" si="94"/>
        <v>92.875</v>
      </c>
      <c r="W215" s="95">
        <v>0.5</v>
      </c>
      <c r="X215" s="95">
        <v>0.25</v>
      </c>
    </row>
    <row r="216" spans="1:24" x14ac:dyDescent="0.2">
      <c r="B216" s="116"/>
      <c r="C216" s="6" t="s">
        <v>176</v>
      </c>
      <c r="D216" s="12" t="s">
        <v>196</v>
      </c>
      <c r="E216" s="34">
        <f t="shared" si="95"/>
        <v>92</v>
      </c>
      <c r="F216" s="35">
        <f t="shared" si="96"/>
        <v>74</v>
      </c>
      <c r="G216" s="23">
        <f t="shared" si="97"/>
        <v>71.78</v>
      </c>
      <c r="H216" s="24">
        <f t="shared" si="97"/>
        <v>70.3</v>
      </c>
      <c r="I216" s="25">
        <f t="shared" si="97"/>
        <v>69.56</v>
      </c>
      <c r="K216" s="76">
        <v>108</v>
      </c>
      <c r="L216" s="99">
        <f t="shared" si="98"/>
        <v>92</v>
      </c>
      <c r="M216" s="76">
        <v>86</v>
      </c>
      <c r="N216" s="99">
        <f t="shared" si="99"/>
        <v>74</v>
      </c>
      <c r="O216" s="88"/>
      <c r="P216" s="97" t="s">
        <v>299</v>
      </c>
      <c r="Q216" s="96">
        <v>47.5</v>
      </c>
      <c r="R216" s="96">
        <f>15/75</f>
        <v>0.2</v>
      </c>
      <c r="S216" s="95"/>
      <c r="T216" s="95">
        <f t="shared" si="93"/>
        <v>47.7</v>
      </c>
      <c r="U216" s="95"/>
      <c r="V216" s="95">
        <f t="shared" si="94"/>
        <v>47.7</v>
      </c>
      <c r="W216" s="95">
        <v>0.5</v>
      </c>
      <c r="X216" s="95">
        <v>0.25</v>
      </c>
    </row>
    <row r="217" spans="1:24" x14ac:dyDescent="0.2">
      <c r="B217" s="116"/>
      <c r="C217" s="6" t="s">
        <v>177</v>
      </c>
      <c r="D217" s="12" t="s">
        <v>196</v>
      </c>
      <c r="E217" s="34">
        <f t="shared" si="95"/>
        <v>29</v>
      </c>
      <c r="F217" s="35">
        <f t="shared" si="96"/>
        <v>22</v>
      </c>
      <c r="G217" s="23">
        <f t="shared" si="97"/>
        <v>21.34</v>
      </c>
      <c r="H217" s="24">
        <f t="shared" si="97"/>
        <v>20.9</v>
      </c>
      <c r="I217" s="25">
        <f t="shared" si="97"/>
        <v>20.68</v>
      </c>
      <c r="K217" s="99">
        <v>29</v>
      </c>
      <c r="L217" s="76">
        <f t="shared" si="98"/>
        <v>29</v>
      </c>
      <c r="M217" s="99">
        <v>22</v>
      </c>
      <c r="N217" s="76">
        <f t="shared" si="99"/>
        <v>22</v>
      </c>
      <c r="O217" s="88"/>
      <c r="P217" s="97" t="s">
        <v>299</v>
      </c>
      <c r="Q217" s="96">
        <v>15.5</v>
      </c>
      <c r="R217" s="96">
        <v>0.2</v>
      </c>
      <c r="S217" s="95"/>
      <c r="T217" s="95">
        <f t="shared" si="93"/>
        <v>15.7</v>
      </c>
      <c r="U217" s="95"/>
      <c r="V217" s="95">
        <f t="shared" si="94"/>
        <v>15.7</v>
      </c>
      <c r="W217" s="95">
        <v>0.37</v>
      </c>
      <c r="X217" s="95">
        <v>0.3</v>
      </c>
    </row>
    <row r="218" spans="1:24" x14ac:dyDescent="0.2">
      <c r="A218" s="60"/>
      <c r="B218" s="117"/>
      <c r="C218" s="6" t="s">
        <v>178</v>
      </c>
      <c r="D218" s="12" t="s">
        <v>196</v>
      </c>
      <c r="E218" s="34">
        <f t="shared" si="95"/>
        <v>204</v>
      </c>
      <c r="F218" s="35">
        <f t="shared" si="96"/>
        <v>163</v>
      </c>
      <c r="G218" s="23">
        <f t="shared" si="97"/>
        <v>158.10999999999999</v>
      </c>
      <c r="H218" s="24">
        <f t="shared" si="97"/>
        <v>154.85</v>
      </c>
      <c r="I218" s="25">
        <f t="shared" si="97"/>
        <v>153.22</v>
      </c>
      <c r="K218" s="76">
        <v>220</v>
      </c>
      <c r="L218" s="99">
        <f t="shared" si="98"/>
        <v>204</v>
      </c>
      <c r="M218" s="76">
        <v>174</v>
      </c>
      <c r="N218" s="99">
        <f t="shared" si="99"/>
        <v>163</v>
      </c>
      <c r="O218" s="88"/>
      <c r="P218" s="97" t="s">
        <v>299</v>
      </c>
      <c r="Q218" s="96">
        <v>105</v>
      </c>
      <c r="R218" s="96">
        <f>15/40</f>
        <v>0.375</v>
      </c>
      <c r="S218" s="95"/>
      <c r="T218" s="95">
        <f t="shared" si="93"/>
        <v>105.375</v>
      </c>
      <c r="U218" s="95"/>
      <c r="V218" s="95">
        <f t="shared" si="94"/>
        <v>105.375</v>
      </c>
      <c r="W218" s="95">
        <v>0.5</v>
      </c>
      <c r="X218" s="95">
        <v>0.25</v>
      </c>
    </row>
    <row r="219" spans="1:24" x14ac:dyDescent="0.2">
      <c r="A219" s="20"/>
      <c r="B219" s="20"/>
      <c r="C219" s="2" t="s">
        <v>180</v>
      </c>
      <c r="D219" s="14"/>
      <c r="E219" s="48"/>
      <c r="F219" s="48"/>
      <c r="G219" s="48"/>
      <c r="H219" s="48"/>
      <c r="I219" s="48"/>
      <c r="K219" s="78"/>
      <c r="L219" s="76"/>
      <c r="M219" s="78"/>
      <c r="N219" s="76"/>
      <c r="O219" s="88"/>
      <c r="T219" s="1">
        <f t="shared" si="93"/>
        <v>0</v>
      </c>
      <c r="V219" s="1">
        <f t="shared" si="94"/>
        <v>0</v>
      </c>
    </row>
    <row r="220" spans="1:24" ht="12" customHeight="1" x14ac:dyDescent="0.2">
      <c r="A220" s="61"/>
      <c r="B220" s="118"/>
      <c r="C220" s="8" t="s">
        <v>181</v>
      </c>
      <c r="D220" s="15" t="s">
        <v>196</v>
      </c>
      <c r="E220" s="34">
        <f>+K220</f>
        <v>53</v>
      </c>
      <c r="F220" s="35">
        <f>+M220</f>
        <v>43</v>
      </c>
      <c r="G220" s="23">
        <f t="shared" si="97"/>
        <v>41.71</v>
      </c>
      <c r="H220" s="24">
        <f t="shared" si="97"/>
        <v>40.85</v>
      </c>
      <c r="I220" s="25">
        <f t="shared" si="97"/>
        <v>40.419999999999995</v>
      </c>
      <c r="K220" s="102">
        <v>53</v>
      </c>
      <c r="L220" s="76">
        <f t="shared" si="98"/>
        <v>0</v>
      </c>
      <c r="M220" s="102">
        <v>43</v>
      </c>
      <c r="N220" s="76">
        <f t="shared" si="99"/>
        <v>0</v>
      </c>
      <c r="O220" s="88"/>
      <c r="P220" s="97" t="s">
        <v>294</v>
      </c>
      <c r="Q220" s="95"/>
      <c r="R220" s="95"/>
      <c r="S220" s="95"/>
      <c r="T220" s="95">
        <f t="shared" si="93"/>
        <v>0</v>
      </c>
      <c r="U220" s="95"/>
      <c r="V220" s="95">
        <f t="shared" si="94"/>
        <v>0</v>
      </c>
      <c r="W220" s="95">
        <v>0.315</v>
      </c>
      <c r="X220" s="95">
        <v>0.25</v>
      </c>
    </row>
    <row r="221" spans="1:24" x14ac:dyDescent="0.2">
      <c r="B221" s="118"/>
      <c r="C221" s="8" t="s">
        <v>248</v>
      </c>
      <c r="D221" s="15" t="s">
        <v>196</v>
      </c>
      <c r="E221" s="34">
        <f>+K221</f>
        <v>50</v>
      </c>
      <c r="F221" s="35">
        <f>+M221</f>
        <v>34</v>
      </c>
      <c r="G221" s="23">
        <f t="shared" si="97"/>
        <v>32.979999999999997</v>
      </c>
      <c r="H221" s="24">
        <f t="shared" si="97"/>
        <v>32.299999999999997</v>
      </c>
      <c r="I221" s="25">
        <f t="shared" si="97"/>
        <v>31.959999999999997</v>
      </c>
      <c r="K221" s="102">
        <v>50</v>
      </c>
      <c r="L221" s="76">
        <f t="shared" si="98"/>
        <v>0</v>
      </c>
      <c r="M221" s="102">
        <v>34</v>
      </c>
      <c r="N221" s="76">
        <f t="shared" si="99"/>
        <v>0</v>
      </c>
      <c r="O221" s="88"/>
      <c r="P221" s="97" t="s">
        <v>294</v>
      </c>
      <c r="Q221" s="95"/>
      <c r="R221" s="95"/>
      <c r="S221" s="95"/>
      <c r="T221" s="95">
        <f t="shared" si="93"/>
        <v>0</v>
      </c>
      <c r="U221" s="95"/>
      <c r="V221" s="95">
        <f t="shared" si="94"/>
        <v>0</v>
      </c>
      <c r="W221" s="95">
        <v>0.39500000000000002</v>
      </c>
      <c r="X221" s="95">
        <v>0.44</v>
      </c>
    </row>
    <row r="222" spans="1:24" x14ac:dyDescent="0.2">
      <c r="B222" s="116"/>
      <c r="C222" s="6" t="s">
        <v>182</v>
      </c>
      <c r="D222" s="12" t="s">
        <v>196</v>
      </c>
      <c r="E222" s="64" t="s">
        <v>210</v>
      </c>
      <c r="F222" s="65" t="s">
        <v>210</v>
      </c>
      <c r="G222" s="66" t="s">
        <v>210</v>
      </c>
      <c r="H222" s="67" t="s">
        <v>210</v>
      </c>
      <c r="I222" s="68" t="s">
        <v>210</v>
      </c>
      <c r="K222" s="85" t="s">
        <v>210</v>
      </c>
      <c r="L222" s="76">
        <f t="shared" si="98"/>
        <v>0</v>
      </c>
      <c r="M222" s="85" t="s">
        <v>210</v>
      </c>
      <c r="N222" s="76">
        <f t="shared" si="99"/>
        <v>0</v>
      </c>
      <c r="O222" s="88"/>
      <c r="P222" s="97" t="s">
        <v>294</v>
      </c>
      <c r="Q222" s="95"/>
      <c r="R222" s="95"/>
      <c r="S222" s="95"/>
      <c r="T222" s="95">
        <f t="shared" si="93"/>
        <v>0</v>
      </c>
      <c r="U222" s="95"/>
      <c r="V222" s="95">
        <f t="shared" si="94"/>
        <v>0</v>
      </c>
      <c r="W222" s="95">
        <v>0.3</v>
      </c>
      <c r="X222" s="95">
        <v>0.4</v>
      </c>
    </row>
    <row r="223" spans="1:24" x14ac:dyDescent="0.2">
      <c r="B223" s="116"/>
      <c r="C223" s="6" t="s">
        <v>183</v>
      </c>
      <c r="D223" s="12" t="s">
        <v>196</v>
      </c>
      <c r="E223" s="64" t="s">
        <v>210</v>
      </c>
      <c r="F223" s="65" t="s">
        <v>210</v>
      </c>
      <c r="G223" s="66" t="s">
        <v>210</v>
      </c>
      <c r="H223" s="67" t="s">
        <v>210</v>
      </c>
      <c r="I223" s="68" t="s">
        <v>210</v>
      </c>
      <c r="K223" s="85" t="s">
        <v>210</v>
      </c>
      <c r="L223" s="76">
        <f t="shared" si="98"/>
        <v>0</v>
      </c>
      <c r="M223" s="85" t="s">
        <v>210</v>
      </c>
      <c r="N223" s="76">
        <f t="shared" si="99"/>
        <v>0</v>
      </c>
      <c r="O223" s="88"/>
      <c r="P223" s="97" t="s">
        <v>294</v>
      </c>
      <c r="Q223" s="95"/>
      <c r="R223" s="95"/>
      <c r="S223" s="95"/>
      <c r="T223" s="95">
        <f t="shared" si="93"/>
        <v>0</v>
      </c>
      <c r="U223" s="95"/>
      <c r="V223" s="95">
        <f t="shared" si="94"/>
        <v>0</v>
      </c>
      <c r="W223" s="95">
        <v>0.33</v>
      </c>
      <c r="X223" s="95">
        <v>0.44</v>
      </c>
    </row>
    <row r="224" spans="1:24" x14ac:dyDescent="0.2">
      <c r="A224" s="60"/>
      <c r="B224" s="117"/>
      <c r="C224" s="6" t="s">
        <v>184</v>
      </c>
      <c r="D224" s="12" t="s">
        <v>196</v>
      </c>
      <c r="E224" s="34">
        <f t="shared" ref="E224" si="100">L224</f>
        <v>51</v>
      </c>
      <c r="F224" s="35">
        <f t="shared" ref="F224" si="101">N224</f>
        <v>32</v>
      </c>
      <c r="G224" s="23">
        <f t="shared" ref="G224:I224" si="102">$F224*(1-G$1)</f>
        <v>31.04</v>
      </c>
      <c r="H224" s="24">
        <f t="shared" si="102"/>
        <v>30.4</v>
      </c>
      <c r="I224" s="25">
        <f t="shared" si="102"/>
        <v>30.08</v>
      </c>
      <c r="K224" s="76">
        <v>58</v>
      </c>
      <c r="L224" s="99">
        <f t="shared" si="98"/>
        <v>51</v>
      </c>
      <c r="M224" s="76">
        <v>37</v>
      </c>
      <c r="N224" s="99">
        <f t="shared" si="99"/>
        <v>32</v>
      </c>
      <c r="O224" s="88"/>
      <c r="P224" s="97" t="s">
        <v>296</v>
      </c>
      <c r="Q224" s="96">
        <v>17.95</v>
      </c>
      <c r="R224" s="96">
        <f>15/40</f>
        <v>0.375</v>
      </c>
      <c r="S224" s="95"/>
      <c r="T224" s="95">
        <f t="shared" si="93"/>
        <v>18.324999999999999</v>
      </c>
      <c r="U224" s="95"/>
      <c r="V224" s="95">
        <f t="shared" si="94"/>
        <v>18.324999999999999</v>
      </c>
      <c r="W224" s="95">
        <v>0.72</v>
      </c>
      <c r="X224" s="95">
        <v>0.56000000000000005</v>
      </c>
    </row>
    <row r="225" spans="1:24" x14ac:dyDescent="0.2">
      <c r="A225" s="20"/>
      <c r="B225" s="20"/>
      <c r="C225" s="2" t="s">
        <v>185</v>
      </c>
      <c r="D225" s="14"/>
      <c r="E225" s="48"/>
      <c r="F225" s="48"/>
      <c r="G225" s="48"/>
      <c r="H225" s="48"/>
      <c r="I225" s="48"/>
      <c r="K225" s="78"/>
      <c r="L225" s="76"/>
      <c r="M225" s="78"/>
      <c r="N225" s="76"/>
      <c r="O225" s="88"/>
      <c r="T225" s="1">
        <f t="shared" si="93"/>
        <v>0</v>
      </c>
      <c r="V225" s="1">
        <f t="shared" si="94"/>
        <v>0</v>
      </c>
    </row>
    <row r="226" spans="1:24" x14ac:dyDescent="0.2">
      <c r="A226" s="61"/>
      <c r="B226" s="118"/>
      <c r="C226" s="6" t="s">
        <v>186</v>
      </c>
      <c r="D226" s="12" t="s">
        <v>198</v>
      </c>
      <c r="E226" s="34">
        <f t="shared" ref="E226:E227" si="103">L226</f>
        <v>8</v>
      </c>
      <c r="F226" s="35">
        <f>M226</f>
        <v>4</v>
      </c>
      <c r="G226" s="23">
        <v>4</v>
      </c>
      <c r="H226" s="24">
        <v>4</v>
      </c>
      <c r="I226" s="25">
        <v>4</v>
      </c>
      <c r="K226" s="99">
        <v>8</v>
      </c>
      <c r="L226" s="76">
        <f t="shared" si="98"/>
        <v>8</v>
      </c>
      <c r="M226" s="99">
        <v>4</v>
      </c>
      <c r="N226" s="76">
        <f t="shared" si="99"/>
        <v>5</v>
      </c>
      <c r="O226" s="88"/>
      <c r="P226" s="97" t="s">
        <v>344</v>
      </c>
      <c r="Q226" s="96">
        <v>2.78</v>
      </c>
      <c r="R226" s="95"/>
      <c r="S226" s="95"/>
      <c r="T226" s="95">
        <f t="shared" si="93"/>
        <v>2.78</v>
      </c>
      <c r="U226" s="95">
        <v>0.05</v>
      </c>
      <c r="V226" s="95">
        <f t="shared" si="94"/>
        <v>2.919</v>
      </c>
      <c r="W226" s="95">
        <v>0.5</v>
      </c>
      <c r="X226" s="95">
        <v>0.8</v>
      </c>
    </row>
    <row r="227" spans="1:24" x14ac:dyDescent="0.2">
      <c r="B227" s="116"/>
      <c r="C227" s="6" t="s">
        <v>187</v>
      </c>
      <c r="D227" s="12" t="s">
        <v>199</v>
      </c>
      <c r="E227" s="34">
        <f t="shared" si="103"/>
        <v>20</v>
      </c>
      <c r="F227" s="35">
        <f t="shared" ref="F227" si="104">N227</f>
        <v>20</v>
      </c>
      <c r="G227" s="23">
        <v>20</v>
      </c>
      <c r="H227" s="24">
        <v>20</v>
      </c>
      <c r="I227" s="25">
        <v>20</v>
      </c>
      <c r="K227" s="76">
        <v>20</v>
      </c>
      <c r="L227" s="99">
        <f t="shared" si="98"/>
        <v>20</v>
      </c>
      <c r="M227" s="76">
        <v>20</v>
      </c>
      <c r="N227" s="99">
        <f t="shared" si="99"/>
        <v>20</v>
      </c>
      <c r="O227" s="88"/>
      <c r="P227" s="97" t="s">
        <v>344</v>
      </c>
      <c r="Q227" s="96">
        <v>20</v>
      </c>
      <c r="R227" s="95"/>
      <c r="S227" s="95"/>
      <c r="T227" s="95">
        <f t="shared" si="93"/>
        <v>20</v>
      </c>
      <c r="U227" s="95"/>
      <c r="V227" s="95">
        <f t="shared" si="94"/>
        <v>20</v>
      </c>
      <c r="W227" s="95">
        <v>-0.03</v>
      </c>
      <c r="X227" s="95"/>
    </row>
    <row r="228" spans="1:24" ht="21.75" customHeight="1" x14ac:dyDescent="0.2">
      <c r="A228" s="273" t="s">
        <v>211</v>
      </c>
      <c r="B228" s="274"/>
      <c r="C228" s="274"/>
      <c r="D228" s="274"/>
      <c r="E228" s="274"/>
      <c r="F228" s="274"/>
      <c r="G228" s="274"/>
      <c r="H228" s="274"/>
      <c r="I228" s="274"/>
      <c r="K228" s="73"/>
      <c r="L228" s="73"/>
      <c r="M228" s="73"/>
      <c r="N228" s="73"/>
    </row>
  </sheetData>
  <autoFilter ref="A3:X228" xr:uid="{5AC0DD5B-5F96-4D16-99A8-5CA61B26A8F5}"/>
  <mergeCells count="5">
    <mergeCell ref="A2:I2"/>
    <mergeCell ref="A106:I106"/>
    <mergeCell ref="A115:I115"/>
    <mergeCell ref="A119:I119"/>
    <mergeCell ref="A228:I228"/>
  </mergeCells>
  <printOptions horizontalCentered="1" gridLines="1"/>
  <pageMargins left="0.15" right="0.15" top="0.6" bottom="0.15" header="0.15" footer="0.15"/>
  <pageSetup scale="89" fitToHeight="0" orientation="portrait" horizontalDpi="1200" verticalDpi="1200" r:id="rId1"/>
  <headerFooter>
    <oddHeader>&amp;C&amp;G</oddHeader>
    <oddFooter>&amp;RUpdated &amp;D</oddFooter>
  </headerFooter>
  <rowBreaks count="3" manualBreakCount="3">
    <brk id="69" max="7" man="1"/>
    <brk id="134" max="7" man="1"/>
    <brk id="195" max="7" man="1"/>
  </rowBreaks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12936-B7D8-4F95-ADA1-89A5D8288C7D}">
  <dimension ref="A1:K26"/>
  <sheetViews>
    <sheetView workbookViewId="0"/>
  </sheetViews>
  <sheetFormatPr defaultRowHeight="15" x14ac:dyDescent="0.25"/>
  <cols>
    <col min="8" max="8" width="10.7109375" customWidth="1"/>
    <col min="9" max="9" width="10.42578125" customWidth="1"/>
  </cols>
  <sheetData>
    <row r="1" spans="1:11" x14ac:dyDescent="0.25">
      <c r="A1" s="223"/>
      <c r="B1" s="224"/>
      <c r="C1" s="224"/>
      <c r="D1" s="224" t="s">
        <v>477</v>
      </c>
      <c r="E1" s="224"/>
      <c r="F1" s="224"/>
      <c r="G1" s="224"/>
      <c r="H1" s="224"/>
      <c r="I1" s="224"/>
      <c r="J1" s="224"/>
      <c r="K1" s="225"/>
    </row>
    <row r="2" spans="1:11" x14ac:dyDescent="0.25">
      <c r="A2" s="226"/>
      <c r="D2">
        <v>2024</v>
      </c>
      <c r="E2">
        <v>2025</v>
      </c>
      <c r="K2" s="227"/>
    </row>
    <row r="3" spans="1:11" x14ac:dyDescent="0.25">
      <c r="A3" s="226" t="s">
        <v>471</v>
      </c>
      <c r="B3">
        <v>15</v>
      </c>
      <c r="C3" t="s">
        <v>475</v>
      </c>
      <c r="D3">
        <v>16.18</v>
      </c>
      <c r="E3">
        <f>+D3</f>
        <v>16.18</v>
      </c>
      <c r="G3">
        <f>+B3*D3</f>
        <v>242.7</v>
      </c>
      <c r="H3">
        <f>+B3*E3</f>
        <v>242.7</v>
      </c>
      <c r="K3" s="227"/>
    </row>
    <row r="4" spans="1:11" x14ac:dyDescent="0.25">
      <c r="A4" s="226" t="s">
        <v>472</v>
      </c>
      <c r="B4">
        <v>10</v>
      </c>
      <c r="C4" t="s">
        <v>475</v>
      </c>
      <c r="D4">
        <v>21.86</v>
      </c>
      <c r="E4">
        <v>22.11</v>
      </c>
      <c r="G4">
        <f>+B4*D4</f>
        <v>218.6</v>
      </c>
      <c r="H4">
        <f t="shared" ref="H4:H5" si="0">+B4*E4</f>
        <v>221.1</v>
      </c>
      <c r="K4" s="227"/>
    </row>
    <row r="5" spans="1:11" x14ac:dyDescent="0.25">
      <c r="A5" s="226" t="s">
        <v>473</v>
      </c>
      <c r="B5">
        <v>9</v>
      </c>
      <c r="C5" t="s">
        <v>474</v>
      </c>
      <c r="D5">
        <v>37.6</v>
      </c>
      <c r="E5">
        <v>43.85</v>
      </c>
      <c r="G5">
        <f>+B5*D5</f>
        <v>338.40000000000003</v>
      </c>
      <c r="H5">
        <f t="shared" si="0"/>
        <v>394.65000000000003</v>
      </c>
      <c r="K5" s="227"/>
    </row>
    <row r="6" spans="1:11" x14ac:dyDescent="0.25">
      <c r="A6" s="226"/>
      <c r="K6" s="227"/>
    </row>
    <row r="7" spans="1:11" x14ac:dyDescent="0.25">
      <c r="A7" s="226" t="s">
        <v>476</v>
      </c>
      <c r="B7">
        <v>31</v>
      </c>
      <c r="C7" t="s">
        <v>478</v>
      </c>
      <c r="D7">
        <v>48</v>
      </c>
      <c r="G7">
        <f>SUM(G3:G5)/B7</f>
        <v>25.796774193548387</v>
      </c>
      <c r="H7" t="s">
        <v>480</v>
      </c>
      <c r="K7" s="227"/>
    </row>
    <row r="8" spans="1:11" ht="15.75" thickBot="1" x14ac:dyDescent="0.3">
      <c r="A8" s="228"/>
      <c r="B8" s="229"/>
      <c r="C8" s="229"/>
      <c r="D8" s="229" t="s">
        <v>479</v>
      </c>
      <c r="E8" s="231">
        <f>+(D7/G7)*H8</f>
        <v>51.526322370889083</v>
      </c>
      <c r="F8" s="229"/>
      <c r="G8" s="229"/>
      <c r="H8" s="229">
        <f>SUM(H3:H5)/B7</f>
        <v>27.691935483870971</v>
      </c>
      <c r="I8" s="229" t="s">
        <v>481</v>
      </c>
      <c r="J8" s="229"/>
      <c r="K8" s="230"/>
    </row>
    <row r="9" spans="1:11" x14ac:dyDescent="0.25">
      <c r="A9" s="223"/>
      <c r="B9" s="224"/>
      <c r="C9" s="224"/>
      <c r="D9" s="224" t="s">
        <v>759</v>
      </c>
      <c r="E9" s="224" t="s">
        <v>760</v>
      </c>
      <c r="F9" s="224"/>
      <c r="G9" s="224"/>
      <c r="H9" s="224"/>
      <c r="I9" s="224"/>
      <c r="J9" s="224"/>
      <c r="K9" s="225"/>
    </row>
    <row r="10" spans="1:11" x14ac:dyDescent="0.25">
      <c r="A10" s="226"/>
      <c r="D10" t="s">
        <v>748</v>
      </c>
      <c r="K10" s="227"/>
    </row>
    <row r="11" spans="1:11" x14ac:dyDescent="0.25">
      <c r="A11" s="226" t="s">
        <v>742</v>
      </c>
      <c r="B11">
        <v>1</v>
      </c>
      <c r="C11" t="s">
        <v>200</v>
      </c>
      <c r="E11">
        <f>SUM(E12:E14)</f>
        <v>139.79</v>
      </c>
      <c r="G11" t="s">
        <v>751</v>
      </c>
      <c r="J11">
        <f>+J12*0.95</f>
        <v>130</v>
      </c>
      <c r="K11" s="227"/>
    </row>
    <row r="12" spans="1:11" x14ac:dyDescent="0.25">
      <c r="A12" s="232" t="s">
        <v>750</v>
      </c>
      <c r="B12" s="217"/>
      <c r="C12" s="217"/>
      <c r="D12" s="217"/>
      <c r="E12" s="217">
        <v>75</v>
      </c>
      <c r="G12" t="s">
        <v>757</v>
      </c>
      <c r="I12">
        <f>117/0.95</f>
        <v>123.15789473684211</v>
      </c>
      <c r="J12">
        <f>130/0.95</f>
        <v>136.84210526315789</v>
      </c>
      <c r="K12" s="227"/>
    </row>
    <row r="13" spans="1:11" x14ac:dyDescent="0.25">
      <c r="A13" s="226" t="s">
        <v>749</v>
      </c>
      <c r="B13">
        <v>700</v>
      </c>
      <c r="C13" t="s">
        <v>747</v>
      </c>
      <c r="D13" s="233">
        <f>+'2026'!I91/2000</f>
        <v>7.4099999999999999E-2</v>
      </c>
      <c r="E13">
        <f>+D13*B13</f>
        <v>51.87</v>
      </c>
      <c r="K13" s="227" t="s">
        <v>766</v>
      </c>
    </row>
    <row r="14" spans="1:11" x14ac:dyDescent="0.25">
      <c r="A14" s="226" t="s">
        <v>743</v>
      </c>
      <c r="B14">
        <v>680</v>
      </c>
      <c r="C14" t="s">
        <v>747</v>
      </c>
      <c r="D14" s="233">
        <f>+'2026'!I77/2000</f>
        <v>1.9E-2</v>
      </c>
      <c r="E14">
        <f>+D14*B14</f>
        <v>12.92</v>
      </c>
      <c r="K14" s="227"/>
    </row>
    <row r="15" spans="1:11" x14ac:dyDescent="0.25">
      <c r="A15" s="226" t="s">
        <v>744</v>
      </c>
      <c r="B15" t="s">
        <v>745</v>
      </c>
      <c r="C15" t="s">
        <v>746</v>
      </c>
      <c r="K15" s="227"/>
    </row>
    <row r="16" spans="1:11" ht="15.75" thickBot="1" x14ac:dyDescent="0.3">
      <c r="A16" s="228"/>
      <c r="B16" s="229"/>
      <c r="C16" s="229"/>
      <c r="D16" s="229"/>
      <c r="E16" s="229"/>
      <c r="F16" s="229"/>
      <c r="G16" s="229"/>
      <c r="H16" s="229"/>
      <c r="I16" s="229"/>
      <c r="J16" s="229"/>
      <c r="K16" s="230"/>
    </row>
    <row r="17" spans="1:11" x14ac:dyDescent="0.25">
      <c r="A17" s="223"/>
      <c r="B17" s="224"/>
      <c r="C17" s="224"/>
      <c r="D17" s="224" t="s">
        <v>759</v>
      </c>
      <c r="E17" s="224" t="s">
        <v>760</v>
      </c>
      <c r="F17" s="224"/>
      <c r="G17" s="224"/>
      <c r="H17" s="224"/>
      <c r="I17" s="224"/>
      <c r="J17" s="224"/>
      <c r="K17" s="225"/>
    </row>
    <row r="18" spans="1:11" x14ac:dyDescent="0.25">
      <c r="A18" s="226"/>
      <c r="D18" t="s">
        <v>748</v>
      </c>
      <c r="K18" s="227"/>
    </row>
    <row r="19" spans="1:11" x14ac:dyDescent="0.25">
      <c r="A19" s="226" t="s">
        <v>752</v>
      </c>
      <c r="B19">
        <v>7</v>
      </c>
      <c r="C19" t="s">
        <v>756</v>
      </c>
      <c r="D19">
        <f>+E19/B19</f>
        <v>98.13</v>
      </c>
      <c r="E19">
        <f>SUM(E20:E25)</f>
        <v>686.91</v>
      </c>
      <c r="G19" t="s">
        <v>758</v>
      </c>
      <c r="K19" s="227"/>
    </row>
    <row r="20" spans="1:11" x14ac:dyDescent="0.25">
      <c r="A20" s="232" t="s">
        <v>750</v>
      </c>
      <c r="B20" s="217"/>
      <c r="C20" s="217"/>
      <c r="D20" s="217"/>
      <c r="E20" s="217">
        <v>150</v>
      </c>
      <c r="G20" t="s">
        <v>757</v>
      </c>
      <c r="I20">
        <f>95/0.95</f>
        <v>100</v>
      </c>
      <c r="K20" s="227" t="s">
        <v>765</v>
      </c>
    </row>
    <row r="21" spans="1:11" x14ac:dyDescent="0.25">
      <c r="A21" s="226" t="s">
        <v>297</v>
      </c>
      <c r="B21">
        <v>14</v>
      </c>
      <c r="C21" t="s">
        <v>196</v>
      </c>
      <c r="D21">
        <f>+Special!V52</f>
        <v>15.700000000000001</v>
      </c>
      <c r="E21">
        <f>+D21*B21</f>
        <v>219.8</v>
      </c>
      <c r="K21" s="227"/>
    </row>
    <row r="22" spans="1:11" x14ac:dyDescent="0.25">
      <c r="A22" s="226" t="s">
        <v>471</v>
      </c>
      <c r="B22">
        <v>2100</v>
      </c>
      <c r="C22" t="s">
        <v>753</v>
      </c>
      <c r="D22" s="233">
        <f>+'2026'!I125</f>
        <v>53.199999999999996</v>
      </c>
      <c r="E22">
        <f>+D22/2000*B22</f>
        <v>55.86</v>
      </c>
      <c r="K22" s="227"/>
    </row>
    <row r="23" spans="1:11" x14ac:dyDescent="0.25">
      <c r="A23" s="226" t="s">
        <v>754</v>
      </c>
      <c r="B23">
        <v>2</v>
      </c>
      <c r="C23" t="s">
        <v>474</v>
      </c>
      <c r="D23" s="233">
        <f>+'2026'!I127</f>
        <v>53.199999999999996</v>
      </c>
      <c r="E23">
        <f>+D23*B23</f>
        <v>106.39999999999999</v>
      </c>
      <c r="K23" s="227"/>
    </row>
    <row r="24" spans="1:11" x14ac:dyDescent="0.25">
      <c r="A24" s="226" t="s">
        <v>472</v>
      </c>
      <c r="B24">
        <v>5200</v>
      </c>
      <c r="C24" t="s">
        <v>753</v>
      </c>
      <c r="D24" s="233">
        <f>+'2026'!I77</f>
        <v>38</v>
      </c>
      <c r="E24">
        <f>+D24/2000*B24</f>
        <v>98.8</v>
      </c>
      <c r="K24" s="227"/>
    </row>
    <row r="25" spans="1:11" x14ac:dyDescent="0.25">
      <c r="A25" s="226" t="s">
        <v>755</v>
      </c>
      <c r="B25">
        <v>1</v>
      </c>
      <c r="C25" t="s">
        <v>474</v>
      </c>
      <c r="D25" s="233">
        <f>+'2026'!I138</f>
        <v>56.05</v>
      </c>
      <c r="E25">
        <f>+D25*B25</f>
        <v>56.05</v>
      </c>
      <c r="K25" s="227"/>
    </row>
    <row r="26" spans="1:11" ht="15.75" thickBot="1" x14ac:dyDescent="0.3">
      <c r="A26" s="228"/>
      <c r="B26" s="229"/>
      <c r="C26" s="229"/>
      <c r="D26" s="229"/>
      <c r="E26" s="229"/>
      <c r="F26" s="229"/>
      <c r="G26" s="229"/>
      <c r="H26" s="229"/>
      <c r="I26" s="229"/>
      <c r="J26" s="229"/>
      <c r="K26" s="2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1A629-20EC-48C1-9686-7EF6C5D45FC5}">
  <sheetPr>
    <tabColor rgb="FF92D050"/>
  </sheetPr>
  <dimension ref="A1:X52"/>
  <sheetViews>
    <sheetView workbookViewId="0"/>
  </sheetViews>
  <sheetFormatPr defaultRowHeight="15" x14ac:dyDescent="0.25"/>
  <cols>
    <col min="1" max="1" width="23.7109375" bestFit="1" customWidth="1"/>
    <col min="3" max="3" width="56" bestFit="1" customWidth="1"/>
  </cols>
  <sheetData>
    <row r="1" spans="1:24" x14ac:dyDescent="0.25">
      <c r="G1" s="26">
        <v>0.03</v>
      </c>
      <c r="H1" s="27">
        <v>0.05</v>
      </c>
      <c r="I1" s="28">
        <v>0.06</v>
      </c>
      <c r="O1" s="93" t="s">
        <v>261</v>
      </c>
      <c r="P1" s="87">
        <f>+'2026'!R1</f>
        <v>0.08</v>
      </c>
    </row>
    <row r="2" spans="1:24" s="1" customFormat="1" ht="45" x14ac:dyDescent="0.2">
      <c r="B2" s="55" t="s">
        <v>5</v>
      </c>
      <c r="C2" s="121" t="s">
        <v>349</v>
      </c>
      <c r="D2" s="10" t="s">
        <v>21</v>
      </c>
      <c r="E2" s="29" t="s">
        <v>0</v>
      </c>
      <c r="F2" s="30" t="s">
        <v>4</v>
      </c>
      <c r="G2" s="31" t="s">
        <v>1</v>
      </c>
      <c r="H2" s="32" t="s">
        <v>2</v>
      </c>
      <c r="I2" s="33" t="s">
        <v>3</v>
      </c>
      <c r="K2" s="74" t="s">
        <v>253</v>
      </c>
      <c r="L2" s="74" t="s">
        <v>264</v>
      </c>
      <c r="M2" s="75" t="s">
        <v>254</v>
      </c>
      <c r="N2" s="75" t="s">
        <v>265</v>
      </c>
      <c r="P2" s="3" t="s">
        <v>255</v>
      </c>
      <c r="Q2" s="1" t="s">
        <v>256</v>
      </c>
      <c r="R2" s="1" t="s">
        <v>257</v>
      </c>
      <c r="S2" s="1" t="s">
        <v>258</v>
      </c>
      <c r="T2" s="1" t="s">
        <v>259</v>
      </c>
      <c r="U2" s="1" t="s">
        <v>260</v>
      </c>
      <c r="V2" s="1" t="s">
        <v>262</v>
      </c>
      <c r="W2" s="1" t="s">
        <v>263</v>
      </c>
      <c r="X2" s="1" t="s">
        <v>266</v>
      </c>
    </row>
    <row r="3" spans="1:24" s="1" customFormat="1" ht="12" x14ac:dyDescent="0.2">
      <c r="B3" s="61">
        <v>22</v>
      </c>
      <c r="C3" s="153" t="s">
        <v>428</v>
      </c>
      <c r="D3" s="15" t="s">
        <v>14</v>
      </c>
      <c r="E3" s="21">
        <f>+L3</f>
        <v>605</v>
      </c>
      <c r="F3" s="22">
        <f>+N3</f>
        <v>404</v>
      </c>
      <c r="G3" s="23">
        <f>$F3*(1-G$1)</f>
        <v>391.88</v>
      </c>
      <c r="H3" s="24">
        <f>$F3*(1-H$1)</f>
        <v>383.79999999999995</v>
      </c>
      <c r="I3" s="25">
        <f>$F3*(1-I$1)</f>
        <v>379.76</v>
      </c>
      <c r="K3" s="79">
        <v>569</v>
      </c>
      <c r="L3" s="99">
        <f>ROUND(+V3*(1+W3)*(1+X3)*(1+$P$1),0)</f>
        <v>605</v>
      </c>
      <c r="M3" s="79">
        <v>379</v>
      </c>
      <c r="N3" s="99">
        <f>ROUND(+V3*(1+W3)*(1+$P$1),0)</f>
        <v>404</v>
      </c>
      <c r="O3" s="88"/>
      <c r="P3" s="1" t="s">
        <v>291</v>
      </c>
      <c r="Q3" s="1">
        <f>225+30</f>
        <v>255</v>
      </c>
      <c r="R3" s="1">
        <v>22.5</v>
      </c>
      <c r="T3" s="1">
        <f>SUM(Q3:S3)</f>
        <v>277.5</v>
      </c>
      <c r="U3" s="1">
        <v>0.05</v>
      </c>
      <c r="V3" s="1">
        <f t="shared" ref="V3:V4" si="0">+T3*(1+U3)</f>
        <v>291.375</v>
      </c>
      <c r="W3" s="1">
        <v>0.28249999999999997</v>
      </c>
      <c r="X3" s="1">
        <v>0.5</v>
      </c>
    </row>
    <row r="4" spans="1:24" s="1" customFormat="1" ht="12" x14ac:dyDescent="0.2">
      <c r="B4" s="61">
        <v>23</v>
      </c>
      <c r="C4" s="153" t="s">
        <v>429</v>
      </c>
      <c r="D4" s="12" t="s">
        <v>14</v>
      </c>
      <c r="E4" s="21">
        <f>+L4</f>
        <v>584</v>
      </c>
      <c r="F4" s="22">
        <f>+N4</f>
        <v>389</v>
      </c>
      <c r="G4" s="23">
        <f t="shared" ref="G4:I7" si="1">$F4*(1-G$1)</f>
        <v>377.33</v>
      </c>
      <c r="H4" s="24">
        <f t="shared" si="1"/>
        <v>369.54999999999995</v>
      </c>
      <c r="I4" s="25">
        <f t="shared" si="1"/>
        <v>365.65999999999997</v>
      </c>
      <c r="K4" s="76">
        <v>548</v>
      </c>
      <c r="L4" s="99">
        <f>ROUND(+V4*(1+W4)*(1+X4)*(1+$P$1),0)</f>
        <v>584</v>
      </c>
      <c r="M4" s="76">
        <v>365</v>
      </c>
      <c r="N4" s="99">
        <f>ROUND(+V4*(1+W4)*(1+$P$1),0)</f>
        <v>389</v>
      </c>
      <c r="O4" s="88"/>
      <c r="P4" s="1" t="s">
        <v>291</v>
      </c>
      <c r="Q4" s="1">
        <f>215+30</f>
        <v>245</v>
      </c>
      <c r="R4" s="1">
        <v>22.5</v>
      </c>
      <c r="T4" s="1">
        <f>SUM(Q4:S4)</f>
        <v>267.5</v>
      </c>
      <c r="U4" s="1">
        <v>0.05</v>
      </c>
      <c r="V4" s="1">
        <f t="shared" si="0"/>
        <v>280.875</v>
      </c>
      <c r="W4" s="1">
        <v>0.28249999999999997</v>
      </c>
      <c r="X4" s="1">
        <v>0.5</v>
      </c>
    </row>
    <row r="5" spans="1:24" x14ac:dyDescent="0.25">
      <c r="B5" s="61"/>
      <c r="C5" s="153" t="s">
        <v>302</v>
      </c>
      <c r="D5" s="12" t="s">
        <v>14</v>
      </c>
      <c r="E5" s="34">
        <f>+L5</f>
        <v>185</v>
      </c>
      <c r="F5" s="35">
        <f>+N5</f>
        <v>128</v>
      </c>
      <c r="G5" s="23">
        <f t="shared" si="1"/>
        <v>124.16</v>
      </c>
      <c r="H5" s="24">
        <f t="shared" si="1"/>
        <v>121.6</v>
      </c>
      <c r="I5" s="25">
        <f t="shared" si="1"/>
        <v>120.32</v>
      </c>
      <c r="K5" s="76">
        <v>167</v>
      </c>
      <c r="L5" s="99">
        <f>ROUND(+V5*(1+W5)*(1+X5)*(1+$P$1),0)</f>
        <v>185</v>
      </c>
      <c r="M5" s="76">
        <v>115</v>
      </c>
      <c r="N5" s="99">
        <f t="shared" ref="N5:N8" si="2">ROUND(+V5*(1+W5)*(1+$P$1),0)</f>
        <v>128</v>
      </c>
      <c r="P5" t="s">
        <v>307</v>
      </c>
      <c r="Q5">
        <v>65</v>
      </c>
      <c r="R5">
        <v>23</v>
      </c>
      <c r="T5" s="1">
        <f>SUM(P5:S5)</f>
        <v>88</v>
      </c>
      <c r="U5" s="1">
        <v>0.05</v>
      </c>
      <c r="V5" s="1">
        <f t="shared" ref="V5:V7" si="3">+T5*(1+U5)</f>
        <v>92.4</v>
      </c>
      <c r="W5">
        <v>0.28000000000000003</v>
      </c>
      <c r="X5">
        <v>0.45</v>
      </c>
    </row>
    <row r="6" spans="1:24" x14ac:dyDescent="0.25">
      <c r="B6" s="61"/>
      <c r="C6" s="153" t="s">
        <v>303</v>
      </c>
      <c r="D6" s="12" t="s">
        <v>14</v>
      </c>
      <c r="E6" s="34">
        <f t="shared" ref="E6:E8" si="4">+L6</f>
        <v>322</v>
      </c>
      <c r="F6" s="35">
        <f t="shared" ref="F6:F8" si="5">+N6</f>
        <v>222</v>
      </c>
      <c r="G6" s="23">
        <f t="shared" si="1"/>
        <v>215.34</v>
      </c>
      <c r="H6" s="24">
        <f t="shared" si="1"/>
        <v>210.89999999999998</v>
      </c>
      <c r="I6" s="25">
        <f t="shared" si="1"/>
        <v>208.67999999999998</v>
      </c>
      <c r="K6" s="76">
        <v>287</v>
      </c>
      <c r="L6" s="99">
        <f>ROUND(+V6*(1+W6)*(1+X6)*(1+$P$1),0)</f>
        <v>322</v>
      </c>
      <c r="M6" s="76">
        <v>198</v>
      </c>
      <c r="N6" s="99">
        <f t="shared" si="2"/>
        <v>222</v>
      </c>
      <c r="P6" t="s">
        <v>307</v>
      </c>
      <c r="Q6">
        <v>130</v>
      </c>
      <c r="R6">
        <v>23</v>
      </c>
      <c r="T6" s="1">
        <f>SUM(P6:S6)</f>
        <v>153</v>
      </c>
      <c r="U6" s="1">
        <v>0.05</v>
      </c>
      <c r="V6" s="1">
        <f t="shared" si="3"/>
        <v>160.65</v>
      </c>
      <c r="W6">
        <v>0.28000000000000003</v>
      </c>
      <c r="X6">
        <v>0.45</v>
      </c>
    </row>
    <row r="7" spans="1:24" x14ac:dyDescent="0.25">
      <c r="B7" s="61"/>
      <c r="C7" s="153" t="s">
        <v>304</v>
      </c>
      <c r="D7" s="12" t="s">
        <v>14</v>
      </c>
      <c r="E7" s="34">
        <f t="shared" si="4"/>
        <v>459</v>
      </c>
      <c r="F7" s="35">
        <f t="shared" si="5"/>
        <v>316</v>
      </c>
      <c r="G7" s="23">
        <f t="shared" si="1"/>
        <v>306.52</v>
      </c>
      <c r="H7" s="24">
        <f t="shared" si="1"/>
        <v>300.2</v>
      </c>
      <c r="I7" s="25">
        <f t="shared" si="1"/>
        <v>297.03999999999996</v>
      </c>
      <c r="K7" s="76">
        <v>418</v>
      </c>
      <c r="L7" s="99">
        <f t="shared" ref="L7:L8" si="6">ROUND(+V7*(1+W7)*(1+X7)*(1+$P$1),0)</f>
        <v>459</v>
      </c>
      <c r="M7" s="76">
        <v>288</v>
      </c>
      <c r="N7" s="99">
        <f t="shared" si="2"/>
        <v>316</v>
      </c>
      <c r="P7" t="s">
        <v>307</v>
      </c>
      <c r="Q7">
        <v>195</v>
      </c>
      <c r="R7">
        <v>23</v>
      </c>
      <c r="T7" s="1">
        <f>SUM(P7:S7)</f>
        <v>218</v>
      </c>
      <c r="U7" s="1">
        <v>0.05</v>
      </c>
      <c r="V7" s="1">
        <f t="shared" si="3"/>
        <v>228.9</v>
      </c>
      <c r="W7">
        <v>0.28000000000000003</v>
      </c>
      <c r="X7">
        <v>0.45</v>
      </c>
    </row>
    <row r="8" spans="1:24" x14ac:dyDescent="0.25">
      <c r="B8" s="61"/>
      <c r="C8" s="153" t="s">
        <v>305</v>
      </c>
      <c r="D8" s="12" t="s">
        <v>14</v>
      </c>
      <c r="E8" s="34">
        <f t="shared" si="4"/>
        <v>543</v>
      </c>
      <c r="F8" s="35">
        <f t="shared" si="5"/>
        <v>374</v>
      </c>
      <c r="G8" s="23">
        <f t="shared" ref="G8:I8" si="7">$F8*(1-G$1)</f>
        <v>362.78</v>
      </c>
      <c r="H8" s="24">
        <f t="shared" si="7"/>
        <v>355.3</v>
      </c>
      <c r="I8" s="25">
        <f t="shared" si="7"/>
        <v>351.56</v>
      </c>
      <c r="K8" s="76">
        <v>460</v>
      </c>
      <c r="L8" s="99">
        <f t="shared" si="6"/>
        <v>543</v>
      </c>
      <c r="M8" s="76">
        <v>317</v>
      </c>
      <c r="N8" s="99">
        <f t="shared" si="2"/>
        <v>374</v>
      </c>
      <c r="P8" t="s">
        <v>307</v>
      </c>
      <c r="Q8">
        <v>235</v>
      </c>
      <c r="R8">
        <v>23</v>
      </c>
      <c r="T8" s="1">
        <f>SUM(P8:S8)</f>
        <v>258</v>
      </c>
      <c r="U8" s="1">
        <v>0.05</v>
      </c>
      <c r="V8" s="1">
        <f t="shared" ref="V8" si="8">+T8*(1+U8)</f>
        <v>270.90000000000003</v>
      </c>
      <c r="W8">
        <v>0.28000000000000003</v>
      </c>
      <c r="X8">
        <v>0.45</v>
      </c>
    </row>
    <row r="9" spans="1:24" x14ac:dyDescent="0.25">
      <c r="B9" s="133"/>
      <c r="C9" s="135"/>
      <c r="D9" s="9"/>
      <c r="E9" s="154"/>
      <c r="F9" s="154"/>
      <c r="G9" s="154"/>
      <c r="H9" s="155"/>
      <c r="I9" s="155"/>
      <c r="K9" s="154"/>
      <c r="L9" s="154"/>
      <c r="M9" s="154"/>
      <c r="N9" s="154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C10" t="s">
        <v>298</v>
      </c>
    </row>
    <row r="12" spans="1:24" x14ac:dyDescent="0.25">
      <c r="C12" s="90" t="s">
        <v>297</v>
      </c>
    </row>
    <row r="13" spans="1:24" ht="17.25" x14ac:dyDescent="0.25">
      <c r="C13" s="156" t="s">
        <v>430</v>
      </c>
    </row>
    <row r="14" spans="1:24" x14ac:dyDescent="0.25">
      <c r="G14">
        <v>0.03</v>
      </c>
      <c r="H14">
        <v>0.05</v>
      </c>
      <c r="I14">
        <v>0.06</v>
      </c>
    </row>
    <row r="15" spans="1:24" x14ac:dyDescent="0.25">
      <c r="A15" s="218"/>
      <c r="B15" s="218"/>
      <c r="C15" s="218" t="s">
        <v>672</v>
      </c>
      <c r="D15" s="218"/>
      <c r="E15" s="218"/>
      <c r="F15" s="218"/>
      <c r="G15" s="218"/>
      <c r="H15" s="218"/>
      <c r="I15" s="218"/>
    </row>
    <row r="16" spans="1:24" ht="45.75" x14ac:dyDescent="0.25">
      <c r="D16" s="10" t="s">
        <v>21</v>
      </c>
      <c r="E16" s="29" t="s">
        <v>0</v>
      </c>
      <c r="F16" s="30" t="s">
        <v>4</v>
      </c>
      <c r="G16" s="31" t="s">
        <v>1</v>
      </c>
      <c r="H16" s="32" t="s">
        <v>2</v>
      </c>
      <c r="I16" s="33" t="s">
        <v>3</v>
      </c>
    </row>
    <row r="17" spans="1:11" x14ac:dyDescent="0.25">
      <c r="A17" s="216" t="s">
        <v>670</v>
      </c>
      <c r="B17" s="59">
        <f>+'2026'!B104</f>
        <v>102</v>
      </c>
      <c r="C17" s="69" t="str">
        <f>+'2026'!D104</f>
        <v>Ledgestone Firepit Coping (Buff)</v>
      </c>
      <c r="D17" s="12" t="str">
        <f>+'2026'!E104</f>
        <v>each</v>
      </c>
      <c r="E17" s="34">
        <f>+'2026'!F104</f>
        <v>43.91328</v>
      </c>
      <c r="F17" s="35">
        <f>+'2026'!G104</f>
        <v>36.5944</v>
      </c>
      <c r="G17" s="23">
        <f>+'2026'!H104</f>
        <v>35.496567999999996</v>
      </c>
      <c r="H17" s="24">
        <f>+'2026'!I104</f>
        <v>34.764679999999998</v>
      </c>
      <c r="I17" s="25">
        <f>+'2026'!J104</f>
        <v>34.398736</v>
      </c>
    </row>
    <row r="18" spans="1:11" x14ac:dyDescent="0.25">
      <c r="A18" s="216" t="s">
        <v>671</v>
      </c>
      <c r="B18" s="59">
        <f>+B17</f>
        <v>102</v>
      </c>
      <c r="C18" s="69" t="str">
        <f t="shared" ref="C18:I18" si="9">+C17</f>
        <v>Ledgestone Firepit Coping (Buff)</v>
      </c>
      <c r="D18" s="12" t="str">
        <f t="shared" si="9"/>
        <v>each</v>
      </c>
      <c r="E18" s="34">
        <f t="shared" si="9"/>
        <v>43.91328</v>
      </c>
      <c r="F18" s="35">
        <f t="shared" si="9"/>
        <v>36.5944</v>
      </c>
      <c r="G18" s="23">
        <f t="shared" si="9"/>
        <v>35.496567999999996</v>
      </c>
      <c r="H18" s="24">
        <f t="shared" si="9"/>
        <v>34.764679999999998</v>
      </c>
      <c r="I18" s="25">
        <f t="shared" si="9"/>
        <v>34.398736</v>
      </c>
    </row>
    <row r="19" spans="1:11" x14ac:dyDescent="0.25">
      <c r="A19" s="216" t="s">
        <v>692</v>
      </c>
      <c r="B19" s="59"/>
      <c r="C19" s="69" t="e">
        <f>+'2026'!#REF!</f>
        <v>#REF!</v>
      </c>
      <c r="D19" s="12" t="e">
        <f>+'2026'!#REF!</f>
        <v>#REF!</v>
      </c>
      <c r="E19" s="34" t="e">
        <f>+'2026'!#REF!</f>
        <v>#REF!</v>
      </c>
      <c r="F19" s="35" t="e">
        <f>+'2026'!#REF!</f>
        <v>#REF!</v>
      </c>
      <c r="G19" s="23" t="e">
        <f>+'2026'!#REF!</f>
        <v>#REF!</v>
      </c>
      <c r="H19" s="24" t="e">
        <f>+'2026'!#REF!</f>
        <v>#REF!</v>
      </c>
      <c r="I19" s="25" t="e">
        <f>+'2026'!#REF!</f>
        <v>#REF!</v>
      </c>
    </row>
    <row r="20" spans="1:11" x14ac:dyDescent="0.25">
      <c r="A20" s="216" t="s">
        <v>693</v>
      </c>
      <c r="B20" s="59"/>
      <c r="C20" s="69" t="e">
        <f>+'2026'!#REF!</f>
        <v>#REF!</v>
      </c>
      <c r="D20" s="12" t="e">
        <f>+'2026'!#REF!</f>
        <v>#REF!</v>
      </c>
      <c r="E20" s="34" t="e">
        <f>+'2026'!#REF!</f>
        <v>#REF!</v>
      </c>
      <c r="F20" s="35" t="e">
        <f>+'2026'!#REF!</f>
        <v>#REF!</v>
      </c>
      <c r="G20" s="23" t="e">
        <f>+'2026'!#REF!</f>
        <v>#REF!</v>
      </c>
      <c r="H20" s="24" t="e">
        <f>+'2026'!#REF!</f>
        <v>#REF!</v>
      </c>
      <c r="I20" s="25" t="e">
        <f>+'2026'!#REF!</f>
        <v>#REF!</v>
      </c>
    </row>
    <row r="21" spans="1:11" x14ac:dyDescent="0.25">
      <c r="A21" s="216" t="s">
        <v>694</v>
      </c>
      <c r="B21" s="59"/>
      <c r="C21" s="69" t="s">
        <v>726</v>
      </c>
      <c r="D21" s="12" t="s">
        <v>188</v>
      </c>
      <c r="E21" s="34">
        <v>0.6</v>
      </c>
      <c r="F21" s="35">
        <v>0.6</v>
      </c>
      <c r="G21" s="23"/>
      <c r="H21" s="24"/>
      <c r="I21" s="25"/>
    </row>
    <row r="22" spans="1:11" x14ac:dyDescent="0.25">
      <c r="A22" s="216" t="s">
        <v>700</v>
      </c>
      <c r="B22" s="59"/>
      <c r="C22" s="69" t="str">
        <f>+'2026'!D186</f>
        <v>Steel Edging - 10' Stick - 14 Ga. - Green, Brown, Black</v>
      </c>
      <c r="D22" s="12" t="str">
        <f>+'2026'!E186</f>
        <v>each</v>
      </c>
      <c r="E22" s="34">
        <f>+'2026'!F186</f>
        <v>33</v>
      </c>
      <c r="F22" s="35">
        <f>+'2026'!G186</f>
        <v>26</v>
      </c>
      <c r="G22" s="23">
        <f>+'2026'!H186</f>
        <v>25.22</v>
      </c>
      <c r="H22" s="24">
        <f>+'2026'!I186</f>
        <v>24.7</v>
      </c>
      <c r="I22" s="25">
        <f>+'2026'!J186</f>
        <v>24.439999999999998</v>
      </c>
    </row>
    <row r="23" spans="1:11" x14ac:dyDescent="0.25">
      <c r="A23" s="216" t="s">
        <v>701</v>
      </c>
      <c r="B23" s="59"/>
      <c r="C23" s="69" t="str">
        <f>+'2026'!D186</f>
        <v>Steel Edging - 10' Stick - 14 Ga. - Green, Brown, Black</v>
      </c>
      <c r="D23" s="12" t="str">
        <f>+'2026'!E186</f>
        <v>each</v>
      </c>
      <c r="E23" s="34">
        <f>+'2026'!F186</f>
        <v>33</v>
      </c>
      <c r="F23" s="35">
        <f>+'2026'!G186</f>
        <v>26</v>
      </c>
      <c r="G23" s="23">
        <f>+'2026'!H186</f>
        <v>25.22</v>
      </c>
      <c r="H23" s="24">
        <f>+'2026'!I186</f>
        <v>24.7</v>
      </c>
      <c r="I23" s="25">
        <f>+'2026'!J186</f>
        <v>24.439999999999998</v>
      </c>
    </row>
    <row r="24" spans="1:11" x14ac:dyDescent="0.25">
      <c r="A24" s="216" t="s">
        <v>702</v>
      </c>
      <c r="B24" s="59"/>
      <c r="C24" s="69" t="str">
        <f>+'2026'!D188</f>
        <v>Steel Edging - Corner Stake - Green, Brown, or Black</v>
      </c>
      <c r="D24" s="12" t="str">
        <f>+'2026'!E188</f>
        <v>each</v>
      </c>
      <c r="E24" s="34">
        <f>+'2026'!F188</f>
        <v>4</v>
      </c>
      <c r="F24" s="35">
        <f>+'2026'!G188</f>
        <v>4</v>
      </c>
      <c r="G24" s="23">
        <f>+'2026'!H188</f>
        <v>3.88</v>
      </c>
      <c r="H24" s="24">
        <f>+'2026'!I188</f>
        <v>3.8</v>
      </c>
      <c r="I24" s="25">
        <f>+'2026'!J188</f>
        <v>3.76</v>
      </c>
    </row>
    <row r="25" spans="1:11" x14ac:dyDescent="0.25">
      <c r="A25" s="216" t="s">
        <v>703</v>
      </c>
      <c r="B25" s="59"/>
      <c r="C25" s="69" t="str">
        <f>+'2026'!D189</f>
        <v>Steel Edging - End Stake - Brown</v>
      </c>
      <c r="D25" s="12" t="str">
        <f>+'2026'!E189</f>
        <v>each</v>
      </c>
      <c r="E25" s="34">
        <f>+'2026'!F189</f>
        <v>4</v>
      </c>
      <c r="F25" s="35">
        <f>+'2026'!G189</f>
        <v>3.4</v>
      </c>
      <c r="G25" s="23">
        <f>+'2026'!H189</f>
        <v>3.298</v>
      </c>
      <c r="H25" s="24">
        <f>+'2026'!I189</f>
        <v>3.23</v>
      </c>
      <c r="I25" s="25">
        <f>+'2026'!J189</f>
        <v>3.1959999999999997</v>
      </c>
    </row>
    <row r="26" spans="1:11" x14ac:dyDescent="0.25">
      <c r="A26" s="216" t="s">
        <v>704</v>
      </c>
      <c r="B26" s="59"/>
      <c r="C26" s="69" t="str">
        <f>+'2026'!D190</f>
        <v>Steel Edging - Splicing Stake - Green, Brown, or Black</v>
      </c>
      <c r="D26" s="12" t="str">
        <f>+'2026'!E190</f>
        <v>each</v>
      </c>
      <c r="E26" s="34">
        <f>+'2026'!F190</f>
        <v>3</v>
      </c>
      <c r="F26" s="35">
        <f>+'2026'!G190</f>
        <v>3</v>
      </c>
      <c r="G26" s="23">
        <f>+'2026'!H190</f>
        <v>2.91</v>
      </c>
      <c r="H26" s="24">
        <f>+'2026'!I190</f>
        <v>2.8499999999999996</v>
      </c>
      <c r="I26" s="25">
        <f>+'2026'!J190</f>
        <v>2.82</v>
      </c>
    </row>
    <row r="27" spans="1:11" x14ac:dyDescent="0.25">
      <c r="A27" s="216" t="s">
        <v>705</v>
      </c>
      <c r="B27" s="59"/>
      <c r="C27" s="69" t="str">
        <f>+'2026'!D187</f>
        <v>Steel Edging Stake - Green, Brown, Black V Shape</v>
      </c>
      <c r="D27" s="12" t="str">
        <f>+'2026'!E187</f>
        <v>each</v>
      </c>
      <c r="E27" s="34">
        <f>+'2026'!F187</f>
        <v>1</v>
      </c>
      <c r="F27" s="35">
        <f>+'2026'!G187</f>
        <v>1</v>
      </c>
      <c r="G27" s="23">
        <f>+'2026'!H187</f>
        <v>0.97</v>
      </c>
      <c r="H27" s="24">
        <f>+'2026'!I187</f>
        <v>0.95</v>
      </c>
      <c r="I27" s="25">
        <f>+'2026'!J187</f>
        <v>0.94</v>
      </c>
    </row>
    <row r="28" spans="1:11" x14ac:dyDescent="0.25">
      <c r="A28" s="216" t="s">
        <v>706</v>
      </c>
      <c r="B28" s="59"/>
      <c r="C28" s="69" t="str">
        <f>+'2026'!D188</f>
        <v>Steel Edging - Corner Stake - Green, Brown, or Black</v>
      </c>
      <c r="D28" s="12" t="str">
        <f>+'2026'!E188</f>
        <v>each</v>
      </c>
      <c r="E28" s="34">
        <f>+'2026'!F188</f>
        <v>4</v>
      </c>
      <c r="F28" s="35">
        <f>+'2026'!G188</f>
        <v>4</v>
      </c>
      <c r="G28" s="23">
        <f>+'2026'!H188</f>
        <v>3.88</v>
      </c>
      <c r="H28" s="24">
        <f>+'2026'!I188</f>
        <v>3.8</v>
      </c>
      <c r="I28" s="25">
        <f>+'2026'!J188</f>
        <v>3.76</v>
      </c>
    </row>
    <row r="29" spans="1:11" x14ac:dyDescent="0.25">
      <c r="A29" s="216" t="s">
        <v>707</v>
      </c>
      <c r="B29" s="59"/>
      <c r="C29" s="69" t="str">
        <f>+'2026'!D190</f>
        <v>Steel Edging - Splicing Stake - Green, Brown, or Black</v>
      </c>
      <c r="D29" s="12" t="str">
        <f>+'2026'!E190</f>
        <v>each</v>
      </c>
      <c r="E29" s="34">
        <f>+'2026'!F190</f>
        <v>3</v>
      </c>
      <c r="F29" s="35">
        <f>+'2026'!G190</f>
        <v>3</v>
      </c>
      <c r="G29" s="23">
        <f>+'2026'!H190</f>
        <v>2.91</v>
      </c>
      <c r="H29" s="24">
        <f>+'2026'!I190</f>
        <v>2.8499999999999996</v>
      </c>
      <c r="I29" s="25">
        <f>+'2026'!J190</f>
        <v>2.82</v>
      </c>
    </row>
    <row r="30" spans="1:11" x14ac:dyDescent="0.25">
      <c r="A30" s="216" t="s">
        <v>708</v>
      </c>
      <c r="B30" s="59"/>
      <c r="C30" s="69" t="str">
        <f>+'2026'!D187</f>
        <v>Steel Edging Stake - Green, Brown, Black V Shape</v>
      </c>
      <c r="D30" s="12" t="str">
        <f>+'2026'!E187</f>
        <v>each</v>
      </c>
      <c r="E30" s="34">
        <f>+'2026'!F187</f>
        <v>1</v>
      </c>
      <c r="F30" s="35">
        <f>+'2026'!G187</f>
        <v>1</v>
      </c>
      <c r="G30" s="23">
        <f>+'2026'!H187</f>
        <v>0.97</v>
      </c>
      <c r="H30" s="24">
        <f>+'2026'!I187</f>
        <v>0.95</v>
      </c>
      <c r="I30" s="25">
        <f>+'2026'!J187</f>
        <v>0.94</v>
      </c>
    </row>
    <row r="31" spans="1:11" x14ac:dyDescent="0.25">
      <c r="A31" s="217" t="s">
        <v>673</v>
      </c>
      <c r="B31" s="219" t="s">
        <v>735</v>
      </c>
      <c r="C31" s="69" t="s">
        <v>709</v>
      </c>
      <c r="D31" s="12" t="s">
        <v>188</v>
      </c>
      <c r="E31" s="220"/>
      <c r="F31" s="35"/>
      <c r="G31" s="23">
        <f>+$F31*(1-G$14)</f>
        <v>0</v>
      </c>
      <c r="H31" s="24">
        <f t="shared" ref="H31:I34" si="10">+$F31*(1-H$14)</f>
        <v>0</v>
      </c>
      <c r="I31" s="25">
        <f t="shared" si="10"/>
        <v>0</v>
      </c>
      <c r="K31" t="s">
        <v>336</v>
      </c>
    </row>
    <row r="32" spans="1:11" x14ac:dyDescent="0.25">
      <c r="A32" s="217" t="s">
        <v>674</v>
      </c>
      <c r="B32" s="59"/>
      <c r="C32" s="69" t="s">
        <v>710</v>
      </c>
      <c r="D32" s="12" t="s">
        <v>188</v>
      </c>
      <c r="E32" s="34">
        <v>904.98</v>
      </c>
      <c r="F32" s="35">
        <v>754.15</v>
      </c>
      <c r="G32" s="23">
        <f t="shared" ref="G32:I47" si="11">+$F32*(1-G$14)</f>
        <v>731.52549999999997</v>
      </c>
      <c r="H32" s="24">
        <f t="shared" si="10"/>
        <v>716.4425</v>
      </c>
      <c r="I32" s="25">
        <f t="shared" si="10"/>
        <v>708.90099999999995</v>
      </c>
      <c r="K32" t="s">
        <v>336</v>
      </c>
    </row>
    <row r="33" spans="1:12" x14ac:dyDescent="0.25">
      <c r="A33" s="217" t="s">
        <v>676</v>
      </c>
      <c r="B33" s="59"/>
      <c r="C33" s="69" t="s">
        <v>711</v>
      </c>
      <c r="D33" s="12" t="s">
        <v>188</v>
      </c>
      <c r="E33" s="34">
        <v>6.63</v>
      </c>
      <c r="F33" s="35">
        <v>5.53</v>
      </c>
      <c r="G33" s="23">
        <f t="shared" si="11"/>
        <v>5.3641000000000005</v>
      </c>
      <c r="H33" s="24">
        <f t="shared" si="10"/>
        <v>5.2534999999999998</v>
      </c>
      <c r="I33" s="25">
        <f t="shared" si="10"/>
        <v>5.1981999999999999</v>
      </c>
      <c r="K33" t="s">
        <v>336</v>
      </c>
    </row>
    <row r="34" spans="1:12" x14ac:dyDescent="0.25">
      <c r="A34" s="217" t="s">
        <v>713</v>
      </c>
      <c r="B34" s="59"/>
      <c r="C34" s="69" t="s">
        <v>712</v>
      </c>
      <c r="D34" s="12" t="s">
        <v>188</v>
      </c>
      <c r="E34" s="34">
        <v>52.64</v>
      </c>
      <c r="F34" s="35">
        <v>43.87</v>
      </c>
      <c r="G34" s="23">
        <f t="shared" si="11"/>
        <v>42.553899999999999</v>
      </c>
      <c r="H34" s="24">
        <f t="shared" si="10"/>
        <v>41.676499999999997</v>
      </c>
      <c r="I34" s="25">
        <f t="shared" si="10"/>
        <v>41.237799999999993</v>
      </c>
      <c r="K34" t="s">
        <v>336</v>
      </c>
    </row>
    <row r="35" spans="1:12" x14ac:dyDescent="0.25">
      <c r="A35" s="217" t="s">
        <v>677</v>
      </c>
      <c r="B35" s="59"/>
      <c r="C35" s="69" t="s">
        <v>714</v>
      </c>
      <c r="D35" s="12" t="s">
        <v>188</v>
      </c>
      <c r="E35" s="221"/>
      <c r="F35" s="35"/>
      <c r="G35" s="23"/>
      <c r="H35" s="24"/>
      <c r="I35" s="25"/>
      <c r="K35" t="s">
        <v>352</v>
      </c>
      <c r="L35" t="s">
        <v>764</v>
      </c>
    </row>
    <row r="36" spans="1:12" x14ac:dyDescent="0.25">
      <c r="A36" s="217" t="s">
        <v>680</v>
      </c>
      <c r="B36" s="129" t="s">
        <v>210</v>
      </c>
      <c r="C36" s="69" t="s">
        <v>715</v>
      </c>
      <c r="D36" s="12" t="s">
        <v>188</v>
      </c>
      <c r="E36" s="34"/>
      <c r="F36" s="35"/>
      <c r="G36" s="23"/>
      <c r="H36" s="24"/>
      <c r="I36" s="25"/>
      <c r="K36" t="s">
        <v>731</v>
      </c>
    </row>
    <row r="37" spans="1:12" x14ac:dyDescent="0.25">
      <c r="A37" s="217" t="s">
        <v>681</v>
      </c>
      <c r="B37" s="59"/>
      <c r="C37" s="69" t="s">
        <v>716</v>
      </c>
      <c r="D37" s="12" t="s">
        <v>188</v>
      </c>
      <c r="E37" s="34">
        <v>28.5</v>
      </c>
      <c r="F37" s="35">
        <v>28.5</v>
      </c>
      <c r="G37" s="23"/>
      <c r="H37" s="24"/>
      <c r="I37" s="25"/>
      <c r="K37" t="s">
        <v>732</v>
      </c>
    </row>
    <row r="38" spans="1:12" x14ac:dyDescent="0.25">
      <c r="A38" s="217" t="s">
        <v>682</v>
      </c>
      <c r="B38" s="59"/>
      <c r="C38" s="69" t="s">
        <v>717</v>
      </c>
      <c r="D38" s="12" t="s">
        <v>188</v>
      </c>
      <c r="E38" s="34">
        <v>25</v>
      </c>
      <c r="F38" s="35">
        <v>25</v>
      </c>
      <c r="G38" s="23"/>
      <c r="H38" s="24"/>
      <c r="I38" s="25"/>
      <c r="K38" t="s">
        <v>732</v>
      </c>
    </row>
    <row r="39" spans="1:12" x14ac:dyDescent="0.25">
      <c r="A39" s="217" t="s">
        <v>683</v>
      </c>
      <c r="B39" s="59"/>
      <c r="C39" s="69" t="s">
        <v>718</v>
      </c>
      <c r="D39" s="12" t="s">
        <v>188</v>
      </c>
      <c r="E39" s="34">
        <v>34</v>
      </c>
      <c r="F39" s="35">
        <v>34</v>
      </c>
      <c r="G39" s="23"/>
      <c r="H39" s="24"/>
      <c r="I39" s="25"/>
      <c r="K39" t="s">
        <v>336</v>
      </c>
    </row>
    <row r="40" spans="1:12" x14ac:dyDescent="0.25">
      <c r="A40" s="217" t="s">
        <v>684</v>
      </c>
      <c r="B40" s="59"/>
      <c r="C40" s="69" t="s">
        <v>719</v>
      </c>
      <c r="D40" s="12" t="s">
        <v>188</v>
      </c>
      <c r="E40" s="34">
        <v>30</v>
      </c>
      <c r="F40" s="35">
        <v>30</v>
      </c>
      <c r="G40" s="23"/>
      <c r="H40" s="24"/>
      <c r="I40" s="25"/>
      <c r="K40" t="s">
        <v>336</v>
      </c>
    </row>
    <row r="41" spans="1:12" x14ac:dyDescent="0.25">
      <c r="A41" s="217" t="s">
        <v>685</v>
      </c>
      <c r="B41" s="59"/>
      <c r="C41" s="69" t="s">
        <v>720</v>
      </c>
      <c r="D41" s="12" t="s">
        <v>188</v>
      </c>
      <c r="E41" s="34">
        <v>26</v>
      </c>
      <c r="F41" s="35">
        <v>26</v>
      </c>
      <c r="G41" s="23"/>
      <c r="H41" s="24"/>
      <c r="I41" s="25"/>
      <c r="K41" t="s">
        <v>336</v>
      </c>
    </row>
    <row r="42" spans="1:12" x14ac:dyDescent="0.25">
      <c r="A42" s="217" t="s">
        <v>686</v>
      </c>
      <c r="B42" s="59"/>
      <c r="C42" s="69" t="s">
        <v>721</v>
      </c>
      <c r="D42" s="12" t="s">
        <v>188</v>
      </c>
      <c r="E42" s="34">
        <v>28.5</v>
      </c>
      <c r="F42" s="35">
        <v>28.5</v>
      </c>
      <c r="G42" s="23"/>
      <c r="H42" s="24"/>
      <c r="I42" s="25"/>
      <c r="K42" t="s">
        <v>733</v>
      </c>
    </row>
    <row r="43" spans="1:12" x14ac:dyDescent="0.25">
      <c r="A43" s="217" t="s">
        <v>691</v>
      </c>
      <c r="B43" s="59"/>
      <c r="C43" s="69" t="s">
        <v>725</v>
      </c>
      <c r="D43" s="12" t="s">
        <v>188</v>
      </c>
      <c r="E43" s="34">
        <f>195.16896/12</f>
        <v>16.26408</v>
      </c>
      <c r="F43" s="35">
        <f>162.6408/12</f>
        <v>13.553400000000002</v>
      </c>
      <c r="G43" s="23">
        <f t="shared" si="11"/>
        <v>13.146798</v>
      </c>
      <c r="H43" s="24">
        <f t="shared" si="11"/>
        <v>12.875730000000001</v>
      </c>
      <c r="I43" s="25">
        <f t="shared" si="11"/>
        <v>12.740196000000001</v>
      </c>
      <c r="K43" t="s">
        <v>336</v>
      </c>
    </row>
    <row r="44" spans="1:12" x14ac:dyDescent="0.25">
      <c r="A44" s="217" t="s">
        <v>695</v>
      </c>
      <c r="B44" s="219" t="s">
        <v>698</v>
      </c>
      <c r="C44" s="69" t="s">
        <v>727</v>
      </c>
      <c r="D44" s="12" t="s">
        <v>188</v>
      </c>
      <c r="E44" s="221">
        <v>330</v>
      </c>
      <c r="F44" s="35">
        <v>212</v>
      </c>
      <c r="G44" s="23">
        <f t="shared" si="11"/>
        <v>205.64</v>
      </c>
      <c r="H44" s="24">
        <f t="shared" si="11"/>
        <v>201.39999999999998</v>
      </c>
      <c r="I44" s="25">
        <f t="shared" si="11"/>
        <v>199.28</v>
      </c>
      <c r="K44" t="s">
        <v>300</v>
      </c>
    </row>
    <row r="45" spans="1:12" x14ac:dyDescent="0.25">
      <c r="A45" s="217" t="s">
        <v>696</v>
      </c>
      <c r="B45" s="219" t="s">
        <v>697</v>
      </c>
      <c r="C45" s="69" t="s">
        <v>728</v>
      </c>
      <c r="D45" s="12" t="s">
        <v>188</v>
      </c>
      <c r="E45" s="221">
        <v>124.5</v>
      </c>
      <c r="F45" s="35">
        <v>79.98</v>
      </c>
      <c r="G45" s="23">
        <f t="shared" si="11"/>
        <v>77.580600000000004</v>
      </c>
      <c r="H45" s="24">
        <f t="shared" si="11"/>
        <v>75.980999999999995</v>
      </c>
      <c r="I45" s="25">
        <f t="shared" si="11"/>
        <v>75.181200000000004</v>
      </c>
      <c r="K45" t="s">
        <v>300</v>
      </c>
    </row>
    <row r="46" spans="1:12" x14ac:dyDescent="0.25">
      <c r="A46" s="222" t="s">
        <v>738</v>
      </c>
      <c r="B46" s="187" t="s">
        <v>210</v>
      </c>
      <c r="C46" s="69" t="s">
        <v>730</v>
      </c>
      <c r="D46" s="12"/>
      <c r="E46" s="34"/>
      <c r="F46" s="35"/>
      <c r="G46" s="23">
        <f t="shared" si="11"/>
        <v>0</v>
      </c>
      <c r="H46" s="24">
        <f t="shared" si="11"/>
        <v>0</v>
      </c>
      <c r="I46" s="25">
        <f t="shared" si="11"/>
        <v>0</v>
      </c>
      <c r="K46" t="s">
        <v>731</v>
      </c>
    </row>
    <row r="47" spans="1:12" x14ac:dyDescent="0.25">
      <c r="A47" s="222" t="s">
        <v>739</v>
      </c>
      <c r="B47" s="219" t="s">
        <v>736</v>
      </c>
      <c r="C47" s="69" t="s">
        <v>729</v>
      </c>
      <c r="D47" s="12"/>
      <c r="E47" s="34"/>
      <c r="F47" s="35"/>
      <c r="G47" s="23">
        <f t="shared" si="11"/>
        <v>0</v>
      </c>
      <c r="H47" s="24">
        <f t="shared" si="11"/>
        <v>0</v>
      </c>
      <c r="I47" s="25">
        <f t="shared" si="11"/>
        <v>0</v>
      </c>
      <c r="K47" t="s">
        <v>737</v>
      </c>
    </row>
    <row r="49" spans="1:22" x14ac:dyDescent="0.25">
      <c r="A49" t="s">
        <v>770</v>
      </c>
    </row>
    <row r="50" spans="1:22" x14ac:dyDescent="0.25">
      <c r="A50" s="217" t="s">
        <v>687</v>
      </c>
      <c r="B50" s="59"/>
      <c r="C50" s="69" t="s">
        <v>722</v>
      </c>
      <c r="D50" s="12"/>
      <c r="E50" s="220"/>
      <c r="F50" s="35"/>
      <c r="G50" s="23"/>
      <c r="H50" s="24"/>
      <c r="I50" s="25"/>
      <c r="K50" t="s">
        <v>352</v>
      </c>
    </row>
    <row r="51" spans="1:22" x14ac:dyDescent="0.25">
      <c r="A51" s="217" t="s">
        <v>688</v>
      </c>
      <c r="B51" s="59"/>
      <c r="C51" s="69" t="s">
        <v>723</v>
      </c>
      <c r="D51" s="12"/>
      <c r="E51" s="220"/>
      <c r="F51" s="35"/>
      <c r="G51" s="23"/>
      <c r="H51" s="24"/>
      <c r="I51" s="25"/>
      <c r="K51" t="s">
        <v>352</v>
      </c>
    </row>
    <row r="52" spans="1:22" x14ac:dyDescent="0.25">
      <c r="A52" s="217" t="s">
        <v>689</v>
      </c>
      <c r="B52" s="59"/>
      <c r="C52" s="69" t="s">
        <v>724</v>
      </c>
      <c r="D52" s="236"/>
      <c r="E52" s="23"/>
      <c r="F52" s="23"/>
      <c r="G52" s="23"/>
      <c r="H52" s="237"/>
      <c r="I52" s="237"/>
      <c r="K52" t="s">
        <v>734</v>
      </c>
      <c r="P52" t="s">
        <v>740</v>
      </c>
      <c r="Q52">
        <v>15.24</v>
      </c>
      <c r="R52">
        <v>0.46</v>
      </c>
      <c r="T52" s="1">
        <f>SUM(P52:S52)</f>
        <v>15.700000000000001</v>
      </c>
      <c r="U52" s="1"/>
      <c r="V52" s="1">
        <f t="shared" ref="V52" si="12">+T52*(1+U52)</f>
        <v>15.700000000000001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B25E4-43C0-4D17-B3B2-869CAF604E31}">
  <dimension ref="A1:AD223"/>
  <sheetViews>
    <sheetView workbookViewId="0">
      <pane xSplit="4" ySplit="4" topLeftCell="K52" activePane="bottomRight" state="frozen"/>
      <selection pane="topRight" activeCell="E1" sqref="E1"/>
      <selection pane="bottomLeft" activeCell="A5" sqref="A5"/>
      <selection pane="bottomRight" activeCell="AD78" sqref="AD78:AD81"/>
    </sheetView>
  </sheetViews>
  <sheetFormatPr defaultColWidth="9.140625" defaultRowHeight="12" x14ac:dyDescent="0.2"/>
  <cols>
    <col min="1" max="1" width="19.140625" style="208" customWidth="1"/>
    <col min="2" max="2" width="7" style="59" customWidth="1"/>
    <col min="3" max="3" width="1.85546875" style="54" bestFit="1" customWidth="1"/>
    <col min="4" max="4" width="42.42578125" style="3" bestFit="1" customWidth="1"/>
    <col min="5" max="5" width="11.85546875" style="9" customWidth="1"/>
    <col min="6" max="6" width="10.7109375" style="45" customWidth="1"/>
    <col min="7" max="7" width="10.7109375" style="46" customWidth="1"/>
    <col min="8" max="8" width="10.7109375" style="51" customWidth="1"/>
    <col min="9" max="9" width="10.7109375" style="52" customWidth="1"/>
    <col min="10" max="10" width="10.7109375" style="53" customWidth="1"/>
    <col min="11" max="11" width="0.85546875" style="1" customWidth="1"/>
    <col min="12" max="12" width="7.7109375" style="71" customWidth="1"/>
    <col min="13" max="13" width="9.42578125" style="179" bestFit="1" customWidth="1"/>
    <col min="14" max="14" width="7.7109375" style="72" customWidth="1"/>
    <col min="15" max="15" width="7.7109375" style="183" customWidth="1"/>
    <col min="16" max="16" width="9.140625" style="1" customWidth="1"/>
    <col min="17" max="17" width="24.140625" style="3" bestFit="1" customWidth="1"/>
    <col min="18" max="23" width="9.140625" style="1"/>
    <col min="24" max="24" width="9.140625" style="1" customWidth="1"/>
    <col min="25" max="25" width="12" style="1" bestFit="1" customWidth="1"/>
    <col min="26" max="16384" width="9.140625" style="1"/>
  </cols>
  <sheetData>
    <row r="1" spans="1:30" x14ac:dyDescent="0.2">
      <c r="B1" s="54"/>
      <c r="H1" s="26">
        <v>0.03</v>
      </c>
      <c r="I1" s="27">
        <v>0.05</v>
      </c>
      <c r="J1" s="28">
        <v>0.06</v>
      </c>
      <c r="Q1" s="93" t="s">
        <v>261</v>
      </c>
      <c r="R1" s="87">
        <v>0.03</v>
      </c>
    </row>
    <row r="2" spans="1:30" ht="23.25" customHeight="1" x14ac:dyDescent="0.3">
      <c r="A2" s="1"/>
      <c r="B2" s="275" t="s">
        <v>483</v>
      </c>
      <c r="C2" s="275"/>
      <c r="D2" s="276"/>
      <c r="E2" s="276"/>
      <c r="F2" s="276"/>
      <c r="G2" s="276"/>
      <c r="H2" s="276"/>
      <c r="I2" s="276"/>
      <c r="J2" s="276"/>
      <c r="L2" s="73"/>
      <c r="M2" s="180"/>
      <c r="N2" s="73"/>
      <c r="O2" s="180"/>
      <c r="Q2" s="196" t="s">
        <v>459</v>
      </c>
    </row>
    <row r="3" spans="1:30" ht="33.75" x14ac:dyDescent="0.2">
      <c r="A3" s="209" t="s">
        <v>489</v>
      </c>
      <c r="B3" s="55" t="s">
        <v>5</v>
      </c>
      <c r="C3" s="113"/>
      <c r="D3" s="121" t="s">
        <v>441</v>
      </c>
      <c r="E3" s="10" t="s">
        <v>21</v>
      </c>
      <c r="F3" s="29" t="s">
        <v>0</v>
      </c>
      <c r="G3" s="30" t="s">
        <v>4</v>
      </c>
      <c r="H3" s="31" t="s">
        <v>1</v>
      </c>
      <c r="I3" s="32" t="s">
        <v>2</v>
      </c>
      <c r="J3" s="33" t="s">
        <v>3</v>
      </c>
      <c r="L3" s="74" t="s">
        <v>442</v>
      </c>
      <c r="M3" s="181" t="s">
        <v>443</v>
      </c>
      <c r="N3" s="75" t="s">
        <v>444</v>
      </c>
      <c r="O3" s="184" t="s">
        <v>445</v>
      </c>
      <c r="Q3" s="3" t="s">
        <v>255</v>
      </c>
      <c r="R3" s="1" t="s">
        <v>256</v>
      </c>
      <c r="S3" s="1" t="s">
        <v>257</v>
      </c>
      <c r="T3" s="1" t="s">
        <v>258</v>
      </c>
      <c r="U3" s="1" t="s">
        <v>259</v>
      </c>
      <c r="V3" s="1" t="s">
        <v>260</v>
      </c>
      <c r="W3" s="1" t="s">
        <v>262</v>
      </c>
      <c r="X3" s="1" t="s">
        <v>263</v>
      </c>
      <c r="Y3" s="1" t="s">
        <v>266</v>
      </c>
      <c r="AA3" s="1" t="s">
        <v>435</v>
      </c>
      <c r="AB3" s="1" t="s">
        <v>436</v>
      </c>
    </row>
    <row r="4" spans="1:30" x14ac:dyDescent="0.2">
      <c r="A4" s="11"/>
      <c r="B4" s="20"/>
      <c r="C4" s="114"/>
      <c r="D4" s="5" t="s">
        <v>6</v>
      </c>
      <c r="E4" s="11"/>
      <c r="F4" s="47"/>
      <c r="G4" s="47"/>
      <c r="H4" s="47"/>
      <c r="I4" s="47"/>
      <c r="J4" s="47"/>
      <c r="N4" s="71"/>
      <c r="O4" s="179"/>
      <c r="U4" s="1">
        <f>SUM(R4:T4)</f>
        <v>0</v>
      </c>
      <c r="W4" s="1">
        <f>+U4*(1+V4)</f>
        <v>0</v>
      </c>
    </row>
    <row r="5" spans="1:30" x14ac:dyDescent="0.2">
      <c r="A5" s="212" t="s">
        <v>496</v>
      </c>
      <c r="B5" s="56" t="s">
        <v>7</v>
      </c>
      <c r="C5" s="245"/>
      <c r="D5" s="6" t="s">
        <v>13</v>
      </c>
      <c r="E5" s="12" t="s">
        <v>14</v>
      </c>
      <c r="F5" s="34">
        <f>+M5</f>
        <v>482</v>
      </c>
      <c r="G5" s="35">
        <f>+O5</f>
        <v>344</v>
      </c>
      <c r="H5" s="23">
        <f>$G5*(1-H$1)</f>
        <v>333.68</v>
      </c>
      <c r="I5" s="24">
        <f t="shared" ref="I5:J25" si="0">$G5*(1-I$1)</f>
        <v>326.8</v>
      </c>
      <c r="J5" s="25">
        <f t="shared" si="0"/>
        <v>323.35999999999996</v>
      </c>
      <c r="L5" s="76">
        <v>476</v>
      </c>
      <c r="M5" s="99">
        <f>ROUND(+W5*(1+X5)*(1+Y5)*(1+$R$1),0)</f>
        <v>482</v>
      </c>
      <c r="N5" s="76">
        <v>340</v>
      </c>
      <c r="O5" s="99">
        <f>ROUND(+W5*(1+X5)*(1+$R$1),0)</f>
        <v>344</v>
      </c>
      <c r="Q5" s="244" t="s">
        <v>277</v>
      </c>
      <c r="R5" s="199">
        <v>145</v>
      </c>
      <c r="S5" s="95">
        <f>1400/24</f>
        <v>58.333333333333336</v>
      </c>
      <c r="T5" s="95"/>
      <c r="U5" s="95">
        <f t="shared" ref="U5:U76" si="1">SUM(R5:T5)</f>
        <v>203.33333333333334</v>
      </c>
      <c r="V5" s="95">
        <v>0</v>
      </c>
      <c r="W5" s="95">
        <f t="shared" ref="W5:W76" si="2">+U5*(1+V5)</f>
        <v>203.33333333333334</v>
      </c>
      <c r="X5" s="197">
        <f>AC5+$AD$5</f>
        <v>0.64400000000000002</v>
      </c>
      <c r="Y5" s="95">
        <v>0.4</v>
      </c>
      <c r="AA5" s="164">
        <f t="shared" ref="AA5:AB9" si="3">+F5/2000</f>
        <v>0.24099999999999999</v>
      </c>
      <c r="AB5" s="164">
        <f t="shared" si="3"/>
        <v>0.17199999999999999</v>
      </c>
      <c r="AC5" s="198">
        <v>0.622</v>
      </c>
      <c r="AD5" s="198">
        <v>2.1999999999999999E-2</v>
      </c>
    </row>
    <row r="6" spans="1:30" x14ac:dyDescent="0.2">
      <c r="A6" s="205" t="s">
        <v>494</v>
      </c>
      <c r="B6" s="57" t="s">
        <v>8</v>
      </c>
      <c r="C6" s="245"/>
      <c r="D6" s="6" t="s">
        <v>15</v>
      </c>
      <c r="E6" s="12" t="s">
        <v>14</v>
      </c>
      <c r="F6" s="34">
        <f>+L6</f>
        <v>463</v>
      </c>
      <c r="G6" s="35">
        <f>+N6</f>
        <v>289</v>
      </c>
      <c r="H6" s="23">
        <f t="shared" ref="H6:J26" si="4">$G6*(1-H$1)</f>
        <v>280.33</v>
      </c>
      <c r="I6" s="24">
        <f t="shared" si="0"/>
        <v>274.55</v>
      </c>
      <c r="J6" s="25">
        <f t="shared" si="0"/>
        <v>271.65999999999997</v>
      </c>
      <c r="L6" s="99">
        <v>463</v>
      </c>
      <c r="M6" s="182">
        <f t="shared" ref="M6:M77" si="5">ROUND(+W6*(1+X6)*(1+Y6)*(1+$R$1),0)</f>
        <v>359</v>
      </c>
      <c r="N6" s="99">
        <v>289</v>
      </c>
      <c r="O6" s="182">
        <f t="shared" ref="O6:O77" si="6">ROUND(+W6*(1+X6)*(1+$R$1),0)</f>
        <v>224</v>
      </c>
      <c r="Q6" s="244" t="s">
        <v>778</v>
      </c>
      <c r="R6" s="199">
        <v>95</v>
      </c>
      <c r="S6" s="95">
        <f>1400/24</f>
        <v>58.333333333333336</v>
      </c>
      <c r="T6" s="95"/>
      <c r="U6" s="95">
        <f t="shared" si="1"/>
        <v>153.33333333333334</v>
      </c>
      <c r="V6" s="95">
        <v>0</v>
      </c>
      <c r="W6" s="95">
        <f t="shared" si="2"/>
        <v>153.33333333333334</v>
      </c>
      <c r="X6" s="197">
        <f t="shared" ref="X6:X10" si="7">AC6+$AD$5</f>
        <v>0.42000000000000004</v>
      </c>
      <c r="Y6" s="95">
        <v>0.6</v>
      </c>
      <c r="AA6" s="164">
        <f t="shared" si="3"/>
        <v>0.23150000000000001</v>
      </c>
      <c r="AB6" s="164">
        <f t="shared" si="3"/>
        <v>0.14449999999999999</v>
      </c>
      <c r="AC6" s="198">
        <v>0.39800000000000002</v>
      </c>
    </row>
    <row r="7" spans="1:30" x14ac:dyDescent="0.2">
      <c r="A7" s="205" t="s">
        <v>492</v>
      </c>
      <c r="B7" s="57" t="s">
        <v>9</v>
      </c>
      <c r="C7" s="245"/>
      <c r="D7" s="6" t="s">
        <v>16</v>
      </c>
      <c r="E7" s="12" t="s">
        <v>14</v>
      </c>
      <c r="F7" s="34">
        <f>+L7</f>
        <v>625</v>
      </c>
      <c r="G7" s="35">
        <f>+N7</f>
        <v>463</v>
      </c>
      <c r="H7" s="23">
        <f t="shared" si="4"/>
        <v>449.11</v>
      </c>
      <c r="I7" s="24">
        <f t="shared" si="0"/>
        <v>439.84999999999997</v>
      </c>
      <c r="J7" s="25">
        <f t="shared" si="0"/>
        <v>435.21999999999997</v>
      </c>
      <c r="L7" s="99">
        <v>625</v>
      </c>
      <c r="M7" s="182">
        <f t="shared" si="5"/>
        <v>377</v>
      </c>
      <c r="N7" s="99">
        <v>463</v>
      </c>
      <c r="O7" s="182">
        <f t="shared" si="6"/>
        <v>279</v>
      </c>
      <c r="Q7" s="244" t="s">
        <v>777</v>
      </c>
      <c r="R7" s="199">
        <v>138</v>
      </c>
      <c r="S7" s="95">
        <f t="shared" ref="S7" si="8">1400/24</f>
        <v>58.333333333333336</v>
      </c>
      <c r="T7" s="95"/>
      <c r="U7" s="95">
        <f t="shared" si="1"/>
        <v>196.33333333333334</v>
      </c>
      <c r="V7" s="95">
        <v>0</v>
      </c>
      <c r="W7" s="95">
        <f t="shared" si="2"/>
        <v>196.33333333333334</v>
      </c>
      <c r="X7" s="197">
        <f t="shared" si="7"/>
        <v>0.38</v>
      </c>
      <c r="Y7" s="95">
        <v>0.35</v>
      </c>
      <c r="AA7" s="164">
        <f t="shared" si="3"/>
        <v>0.3125</v>
      </c>
      <c r="AB7" s="164">
        <f t="shared" si="3"/>
        <v>0.23150000000000001</v>
      </c>
      <c r="AC7" s="198">
        <v>0.35799999999999998</v>
      </c>
    </row>
    <row r="8" spans="1:30" x14ac:dyDescent="0.2">
      <c r="A8" s="205" t="s">
        <v>490</v>
      </c>
      <c r="B8" s="57" t="s">
        <v>10</v>
      </c>
      <c r="C8" s="245"/>
      <c r="D8" s="6" t="s">
        <v>17</v>
      </c>
      <c r="E8" s="12" t="s">
        <v>14</v>
      </c>
      <c r="F8" s="34">
        <f t="shared" ref="F8:F11" si="9">+M8</f>
        <v>462</v>
      </c>
      <c r="G8" s="35">
        <f>+O8</f>
        <v>324</v>
      </c>
      <c r="H8" s="23">
        <f t="shared" si="4"/>
        <v>314.27999999999997</v>
      </c>
      <c r="I8" s="24">
        <f t="shared" si="0"/>
        <v>307.8</v>
      </c>
      <c r="J8" s="25">
        <f t="shared" si="0"/>
        <v>304.56</v>
      </c>
      <c r="L8" s="76">
        <v>455</v>
      </c>
      <c r="M8" s="99">
        <f t="shared" si="5"/>
        <v>462</v>
      </c>
      <c r="N8" s="76">
        <v>319</v>
      </c>
      <c r="O8" s="99">
        <f t="shared" si="6"/>
        <v>324</v>
      </c>
      <c r="Q8" s="244" t="s">
        <v>277</v>
      </c>
      <c r="R8" s="199">
        <v>145</v>
      </c>
      <c r="S8" s="95">
        <f>1400/24</f>
        <v>58.333333333333336</v>
      </c>
      <c r="T8" s="95"/>
      <c r="U8" s="95">
        <f t="shared" si="1"/>
        <v>203.33333333333334</v>
      </c>
      <c r="V8" s="95">
        <v>0</v>
      </c>
      <c r="W8" s="95">
        <f t="shared" si="2"/>
        <v>203.33333333333334</v>
      </c>
      <c r="X8" s="197">
        <f t="shared" si="7"/>
        <v>0.54700000000000004</v>
      </c>
      <c r="Y8" s="95">
        <v>0.42499999999999999</v>
      </c>
      <c r="AA8" s="164">
        <f t="shared" si="3"/>
        <v>0.23100000000000001</v>
      </c>
      <c r="AB8" s="164">
        <f t="shared" si="3"/>
        <v>0.16200000000000001</v>
      </c>
      <c r="AC8" s="198">
        <v>0.52500000000000002</v>
      </c>
    </row>
    <row r="9" spans="1:30" x14ac:dyDescent="0.2">
      <c r="A9" s="205" t="s">
        <v>493</v>
      </c>
      <c r="B9" s="57" t="s">
        <v>11</v>
      </c>
      <c r="C9" s="245"/>
      <c r="D9" s="6" t="s">
        <v>18</v>
      </c>
      <c r="E9" s="106" t="s">
        <v>14</v>
      </c>
      <c r="F9" s="34">
        <f t="shared" si="9"/>
        <v>417</v>
      </c>
      <c r="G9" s="35">
        <f t="shared" ref="G9:G11" si="10">+O9</f>
        <v>261</v>
      </c>
      <c r="H9" s="109">
        <f t="shared" si="4"/>
        <v>253.17</v>
      </c>
      <c r="I9" s="110">
        <f t="shared" si="0"/>
        <v>247.95</v>
      </c>
      <c r="J9" s="111">
        <f t="shared" si="0"/>
        <v>245.33999999999997</v>
      </c>
      <c r="L9" s="76">
        <v>411</v>
      </c>
      <c r="M9" s="99">
        <f t="shared" si="5"/>
        <v>417</v>
      </c>
      <c r="N9" s="76">
        <v>257</v>
      </c>
      <c r="O9" s="99">
        <f t="shared" si="6"/>
        <v>261</v>
      </c>
      <c r="Q9" s="244" t="s">
        <v>277</v>
      </c>
      <c r="R9" s="199">
        <v>120</v>
      </c>
      <c r="S9" s="95">
        <f>1400/24</f>
        <v>58.333333333333336</v>
      </c>
      <c r="T9" s="95"/>
      <c r="U9" s="95">
        <f t="shared" si="1"/>
        <v>178.33333333333334</v>
      </c>
      <c r="V9" s="95">
        <v>0</v>
      </c>
      <c r="W9" s="95">
        <f t="shared" si="2"/>
        <v>178.33333333333334</v>
      </c>
      <c r="X9" s="197">
        <f t="shared" si="7"/>
        <v>0.42000000000000004</v>
      </c>
      <c r="Y9" s="95">
        <v>0.6</v>
      </c>
      <c r="AA9" s="164">
        <f t="shared" si="3"/>
        <v>0.20849999999999999</v>
      </c>
      <c r="AB9" s="164">
        <f t="shared" si="3"/>
        <v>0.1305</v>
      </c>
      <c r="AC9" s="198">
        <v>0.39800000000000002</v>
      </c>
    </row>
    <row r="10" spans="1:30" x14ac:dyDescent="0.2">
      <c r="A10" s="204" t="s">
        <v>491</v>
      </c>
      <c r="B10" s="58" t="s">
        <v>12</v>
      </c>
      <c r="C10" s="115"/>
      <c r="D10" s="7" t="s">
        <v>19</v>
      </c>
      <c r="E10" s="112" t="s">
        <v>14</v>
      </c>
      <c r="F10" s="34">
        <f t="shared" si="9"/>
        <v>611</v>
      </c>
      <c r="G10" s="35">
        <f t="shared" si="10"/>
        <v>382</v>
      </c>
      <c r="H10" s="109">
        <f t="shared" si="4"/>
        <v>370.53999999999996</v>
      </c>
      <c r="I10" s="110">
        <f t="shared" si="0"/>
        <v>362.9</v>
      </c>
      <c r="J10" s="111">
        <f t="shared" si="0"/>
        <v>359.08</v>
      </c>
      <c r="L10" s="77">
        <v>605</v>
      </c>
      <c r="M10" s="99">
        <f t="shared" si="5"/>
        <v>611</v>
      </c>
      <c r="N10" s="77">
        <v>380</v>
      </c>
      <c r="O10" s="99">
        <f t="shared" si="6"/>
        <v>382</v>
      </c>
      <c r="P10" s="189"/>
      <c r="Q10" s="94" t="s">
        <v>290</v>
      </c>
      <c r="R10" s="95">
        <v>140</v>
      </c>
      <c r="S10" s="95">
        <f>1525/24</f>
        <v>63.541666666666664</v>
      </c>
      <c r="T10" s="95"/>
      <c r="U10" s="95">
        <f t="shared" si="1"/>
        <v>203.54166666666666</v>
      </c>
      <c r="V10" s="95">
        <v>0</v>
      </c>
      <c r="W10" s="95">
        <f t="shared" si="2"/>
        <v>203.54166666666666</v>
      </c>
      <c r="X10" s="197">
        <f t="shared" si="7"/>
        <v>0.82200000000000006</v>
      </c>
      <c r="Y10" s="95">
        <v>0.6</v>
      </c>
      <c r="AC10" s="198">
        <v>0.8</v>
      </c>
    </row>
    <row r="11" spans="1:30" x14ac:dyDescent="0.2">
      <c r="A11" s="204" t="s">
        <v>495</v>
      </c>
      <c r="B11" s="58" t="s">
        <v>456</v>
      </c>
      <c r="C11" s="245"/>
      <c r="D11" s="7" t="s">
        <v>457</v>
      </c>
      <c r="E11" s="112" t="s">
        <v>14</v>
      </c>
      <c r="F11" s="34">
        <f t="shared" si="9"/>
        <v>557</v>
      </c>
      <c r="G11" s="35">
        <f t="shared" si="10"/>
        <v>398</v>
      </c>
      <c r="H11" s="109">
        <f t="shared" si="4"/>
        <v>386.06</v>
      </c>
      <c r="I11" s="110">
        <f t="shared" si="0"/>
        <v>378.09999999999997</v>
      </c>
      <c r="J11" s="111">
        <f t="shared" si="0"/>
        <v>374.12</v>
      </c>
      <c r="L11" s="77"/>
      <c r="M11" s="99">
        <f t="shared" si="5"/>
        <v>557</v>
      </c>
      <c r="N11" s="77"/>
      <c r="O11" s="99">
        <f t="shared" si="6"/>
        <v>398</v>
      </c>
      <c r="P11" s="189"/>
      <c r="Q11" s="244" t="s">
        <v>277</v>
      </c>
      <c r="R11" s="199">
        <v>180</v>
      </c>
      <c r="S11" s="95">
        <f>1400/24</f>
        <v>58.333333333333336</v>
      </c>
      <c r="T11" s="95"/>
      <c r="U11" s="95">
        <f t="shared" ref="U11" si="11">SUM(R11:T11)</f>
        <v>238.33333333333334</v>
      </c>
      <c r="V11" s="95">
        <v>0</v>
      </c>
      <c r="W11" s="95">
        <f t="shared" si="2"/>
        <v>238.33333333333334</v>
      </c>
      <c r="X11" s="199">
        <f>0.622</f>
        <v>0.622</v>
      </c>
      <c r="Y11" s="199">
        <v>0.4</v>
      </c>
      <c r="Z11" s="1" t="s">
        <v>461</v>
      </c>
      <c r="AA11" s="164">
        <f>+F11/2000</f>
        <v>0.27850000000000003</v>
      </c>
      <c r="AB11" s="164">
        <f>+G11/2000</f>
        <v>0.19900000000000001</v>
      </c>
    </row>
    <row r="12" spans="1:30" x14ac:dyDescent="0.2">
      <c r="A12" s="14"/>
      <c r="B12" s="20"/>
      <c r="C12" s="20"/>
      <c r="D12" s="2" t="s">
        <v>20</v>
      </c>
      <c r="E12" s="14"/>
      <c r="F12" s="48"/>
      <c r="G12" s="48"/>
      <c r="H12" s="48"/>
      <c r="I12" s="48"/>
      <c r="J12" s="48"/>
      <c r="L12" s="78"/>
      <c r="M12" s="182"/>
      <c r="N12" s="78"/>
      <c r="O12" s="182"/>
      <c r="P12" s="88"/>
      <c r="U12" s="1">
        <f t="shared" si="1"/>
        <v>0</v>
      </c>
      <c r="W12" s="1">
        <f t="shared" si="2"/>
        <v>0</v>
      </c>
    </row>
    <row r="13" spans="1:30" x14ac:dyDescent="0.2">
      <c r="A13" s="205" t="s">
        <v>533</v>
      </c>
      <c r="B13" s="16">
        <v>1</v>
      </c>
      <c r="C13" s="151"/>
      <c r="D13" s="6" t="s">
        <v>431</v>
      </c>
      <c r="E13" s="12" t="s">
        <v>14</v>
      </c>
      <c r="F13" s="34">
        <f>+M13</f>
        <v>487</v>
      </c>
      <c r="G13" s="35">
        <f>+O13</f>
        <v>374</v>
      </c>
      <c r="H13" s="23">
        <f t="shared" ref="H13:J21" si="12">$G13*(1-H$1)</f>
        <v>362.78</v>
      </c>
      <c r="I13" s="24">
        <f t="shared" si="12"/>
        <v>355.3</v>
      </c>
      <c r="J13" s="25">
        <f t="shared" si="12"/>
        <v>351.56</v>
      </c>
      <c r="L13" s="76">
        <v>479</v>
      </c>
      <c r="M13" s="99">
        <f t="shared" ref="M13:M21" si="13">ROUND(+W13*(1+X13)*(1+Y13)*(1+$R$1),0)</f>
        <v>487</v>
      </c>
      <c r="N13" s="76">
        <v>369</v>
      </c>
      <c r="O13" s="99">
        <f t="shared" ref="O13:O21" si="14">ROUND(+W13*(1+X13)*(1+$R$1),0)</f>
        <v>374</v>
      </c>
      <c r="P13" s="188" t="s">
        <v>460</v>
      </c>
      <c r="Q13" s="94" t="s">
        <v>446</v>
      </c>
      <c r="R13" s="95">
        <v>165</v>
      </c>
      <c r="S13" s="95">
        <f>1000/24</f>
        <v>41.666666666666664</v>
      </c>
      <c r="T13" s="95"/>
      <c r="U13" s="95">
        <f t="shared" ref="U13:U21" si="15">SUM(R13:T13)</f>
        <v>206.66666666666666</v>
      </c>
      <c r="V13" s="95">
        <v>0.05</v>
      </c>
      <c r="W13" s="95">
        <f>+U13*(1+V13)</f>
        <v>217</v>
      </c>
      <c r="X13" s="197">
        <f>+AC13+$AD$13</f>
        <v>0.67500000000000004</v>
      </c>
      <c r="Y13" s="95">
        <v>0.3</v>
      </c>
      <c r="AC13" s="197">
        <v>0.65</v>
      </c>
      <c r="AD13" s="198">
        <v>2.5000000000000001E-2</v>
      </c>
    </row>
    <row r="14" spans="1:30" x14ac:dyDescent="0.2">
      <c r="A14" s="210" t="s">
        <v>530</v>
      </c>
      <c r="B14" s="16">
        <v>2</v>
      </c>
      <c r="C14" s="116"/>
      <c r="D14" s="6" t="s">
        <v>27</v>
      </c>
      <c r="E14" s="12" t="s">
        <v>14</v>
      </c>
      <c r="F14" s="34">
        <f t="shared" ref="F14:F21" si="16">+M14</f>
        <v>478</v>
      </c>
      <c r="G14" s="35">
        <f t="shared" ref="G14:G21" si="17">+O14</f>
        <v>368</v>
      </c>
      <c r="H14" s="23">
        <f t="shared" si="12"/>
        <v>356.96</v>
      </c>
      <c r="I14" s="24">
        <f t="shared" si="12"/>
        <v>349.59999999999997</v>
      </c>
      <c r="J14" s="25">
        <f t="shared" si="12"/>
        <v>345.91999999999996</v>
      </c>
      <c r="L14" s="76">
        <v>471</v>
      </c>
      <c r="M14" s="99">
        <f t="shared" si="13"/>
        <v>478</v>
      </c>
      <c r="N14" s="76">
        <v>362</v>
      </c>
      <c r="O14" s="99">
        <f t="shared" si="14"/>
        <v>368</v>
      </c>
      <c r="P14" s="188" t="s">
        <v>460</v>
      </c>
      <c r="Q14" s="94" t="s">
        <v>446</v>
      </c>
      <c r="R14" s="95">
        <v>165</v>
      </c>
      <c r="S14" s="95">
        <f>1000/24</f>
        <v>41.666666666666664</v>
      </c>
      <c r="T14" s="95"/>
      <c r="U14" s="95">
        <f t="shared" si="15"/>
        <v>206.66666666666666</v>
      </c>
      <c r="V14" s="95">
        <v>0.05</v>
      </c>
      <c r="W14" s="95">
        <f t="shared" ref="W14:W21" si="18">+U14*(1+V14)</f>
        <v>217</v>
      </c>
      <c r="X14" s="197">
        <f t="shared" ref="X14:X19" si="19">+AC14+$AD$13</f>
        <v>0.64500000000000002</v>
      </c>
      <c r="Y14" s="95">
        <v>0.3</v>
      </c>
      <c r="AC14" s="197">
        <v>0.62</v>
      </c>
    </row>
    <row r="15" spans="1:30" x14ac:dyDescent="0.2">
      <c r="A15" s="210" t="s">
        <v>529</v>
      </c>
      <c r="B15" s="16">
        <v>3</v>
      </c>
      <c r="C15" s="116"/>
      <c r="D15" s="6" t="s">
        <v>440</v>
      </c>
      <c r="E15" s="12" t="s">
        <v>14</v>
      </c>
      <c r="F15" s="34">
        <f t="shared" si="16"/>
        <v>615</v>
      </c>
      <c r="G15" s="35">
        <f t="shared" si="17"/>
        <v>473</v>
      </c>
      <c r="H15" s="23">
        <f t="shared" si="12"/>
        <v>458.81</v>
      </c>
      <c r="I15" s="24">
        <f t="shared" si="12"/>
        <v>449.34999999999997</v>
      </c>
      <c r="J15" s="25">
        <f t="shared" si="12"/>
        <v>444.61999999999995</v>
      </c>
      <c r="L15" s="76">
        <v>606</v>
      </c>
      <c r="M15" s="99">
        <f t="shared" si="13"/>
        <v>615</v>
      </c>
      <c r="N15" s="76">
        <v>466</v>
      </c>
      <c r="O15" s="99">
        <f>ROUND(+W15*(1+X15)*(1+$R$1),0)</f>
        <v>473</v>
      </c>
      <c r="P15" s="188" t="s">
        <v>460</v>
      </c>
      <c r="Q15" s="94" t="s">
        <v>446</v>
      </c>
      <c r="R15" s="95">
        <f>165+50</f>
        <v>215</v>
      </c>
      <c r="S15" s="95">
        <f>1000/24</f>
        <v>41.666666666666664</v>
      </c>
      <c r="T15" s="95"/>
      <c r="U15" s="95">
        <f t="shared" ref="U15" si="20">SUM(R15:T15)</f>
        <v>256.66666666666669</v>
      </c>
      <c r="V15" s="95">
        <v>0.05</v>
      </c>
      <c r="W15" s="95">
        <f t="shared" si="18"/>
        <v>269.50000000000006</v>
      </c>
      <c r="X15" s="197">
        <f t="shared" si="19"/>
        <v>0.70500000000000007</v>
      </c>
      <c r="Y15" s="95">
        <v>0.3</v>
      </c>
      <c r="AC15" s="197">
        <v>0.68</v>
      </c>
    </row>
    <row r="16" spans="1:30" x14ac:dyDescent="0.2">
      <c r="A16" s="210" t="s">
        <v>528</v>
      </c>
      <c r="B16" s="16">
        <v>4</v>
      </c>
      <c r="C16" s="116"/>
      <c r="D16" s="6" t="s">
        <v>26</v>
      </c>
      <c r="E16" s="12" t="s">
        <v>14</v>
      </c>
      <c r="F16" s="34">
        <f t="shared" si="16"/>
        <v>495</v>
      </c>
      <c r="G16" s="35">
        <f t="shared" si="17"/>
        <v>381</v>
      </c>
      <c r="H16" s="23">
        <f t="shared" si="12"/>
        <v>369.57</v>
      </c>
      <c r="I16" s="24">
        <f t="shared" si="12"/>
        <v>361.95</v>
      </c>
      <c r="J16" s="25">
        <f t="shared" si="12"/>
        <v>358.14</v>
      </c>
      <c r="L16" s="76">
        <v>488</v>
      </c>
      <c r="M16" s="99">
        <f t="shared" si="13"/>
        <v>495</v>
      </c>
      <c r="N16" s="76">
        <v>375</v>
      </c>
      <c r="O16" s="99">
        <f t="shared" si="14"/>
        <v>381</v>
      </c>
      <c r="P16" s="188" t="s">
        <v>460</v>
      </c>
      <c r="Q16" s="94" t="s">
        <v>446</v>
      </c>
      <c r="R16" s="95">
        <v>165</v>
      </c>
      <c r="S16" s="95">
        <f>1000/24</f>
        <v>41.666666666666664</v>
      </c>
      <c r="T16" s="95"/>
      <c r="U16" s="95">
        <f t="shared" si="15"/>
        <v>206.66666666666666</v>
      </c>
      <c r="V16" s="95">
        <v>0.05</v>
      </c>
      <c r="W16" s="95">
        <f t="shared" si="18"/>
        <v>217</v>
      </c>
      <c r="X16" s="197">
        <f t="shared" si="19"/>
        <v>0.70500000000000007</v>
      </c>
      <c r="Y16" s="95">
        <v>0.3</v>
      </c>
      <c r="AC16" s="197">
        <v>0.68</v>
      </c>
    </row>
    <row r="17" spans="1:30" x14ac:dyDescent="0.2">
      <c r="A17" s="210" t="s">
        <v>534</v>
      </c>
      <c r="B17" s="16">
        <v>5</v>
      </c>
      <c r="C17" s="116"/>
      <c r="D17" s="6" t="s">
        <v>23</v>
      </c>
      <c r="E17" s="12" t="s">
        <v>14</v>
      </c>
      <c r="F17" s="34">
        <f t="shared" si="16"/>
        <v>475</v>
      </c>
      <c r="G17" s="35">
        <f t="shared" si="17"/>
        <v>366</v>
      </c>
      <c r="H17" s="23">
        <f t="shared" si="12"/>
        <v>355.02</v>
      </c>
      <c r="I17" s="24">
        <f t="shared" si="12"/>
        <v>347.7</v>
      </c>
      <c r="J17" s="25">
        <f t="shared" si="12"/>
        <v>344.03999999999996</v>
      </c>
      <c r="L17" s="76">
        <v>468</v>
      </c>
      <c r="M17" s="99">
        <f t="shared" si="13"/>
        <v>475</v>
      </c>
      <c r="N17" s="76">
        <v>361</v>
      </c>
      <c r="O17" s="99">
        <f t="shared" si="14"/>
        <v>366</v>
      </c>
      <c r="P17" s="188" t="s">
        <v>460</v>
      </c>
      <c r="Q17" s="94" t="s">
        <v>322</v>
      </c>
      <c r="R17" s="95">
        <v>160</v>
      </c>
      <c r="S17" s="95">
        <f>1000/24</f>
        <v>41.666666666666664</v>
      </c>
      <c r="T17" s="95"/>
      <c r="U17" s="95">
        <f t="shared" si="15"/>
        <v>201.66666666666666</v>
      </c>
      <c r="V17" s="95">
        <v>0.05</v>
      </c>
      <c r="W17" s="95">
        <f t="shared" si="18"/>
        <v>211.75</v>
      </c>
      <c r="X17" s="197">
        <f t="shared" si="19"/>
        <v>0.68</v>
      </c>
      <c r="Y17" s="95">
        <v>0.29499999999999998</v>
      </c>
      <c r="AC17" s="197">
        <v>0.65500000000000003</v>
      </c>
    </row>
    <row r="18" spans="1:30" x14ac:dyDescent="0.2">
      <c r="A18" s="210" t="s">
        <v>535</v>
      </c>
      <c r="B18" s="16">
        <v>6</v>
      </c>
      <c r="C18" s="116"/>
      <c r="D18" s="6" t="s">
        <v>25</v>
      </c>
      <c r="E18" s="12" t="s">
        <v>14</v>
      </c>
      <c r="F18" s="34">
        <f t="shared" si="16"/>
        <v>666</v>
      </c>
      <c r="G18" s="35">
        <f t="shared" si="17"/>
        <v>450</v>
      </c>
      <c r="H18" s="23">
        <f t="shared" si="12"/>
        <v>436.5</v>
      </c>
      <c r="I18" s="24">
        <f t="shared" si="12"/>
        <v>427.5</v>
      </c>
      <c r="J18" s="25">
        <f t="shared" si="12"/>
        <v>423</v>
      </c>
      <c r="L18" s="76">
        <v>655</v>
      </c>
      <c r="M18" s="99">
        <f t="shared" si="13"/>
        <v>666</v>
      </c>
      <c r="N18" s="76">
        <v>442</v>
      </c>
      <c r="O18" s="99">
        <f t="shared" si="14"/>
        <v>450</v>
      </c>
      <c r="P18" s="188" t="s">
        <v>460</v>
      </c>
      <c r="Q18" s="94" t="s">
        <v>291</v>
      </c>
      <c r="R18" s="95">
        <v>270</v>
      </c>
      <c r="S18" s="95">
        <f>540/16/1.5</f>
        <v>22.5</v>
      </c>
      <c r="T18" s="95"/>
      <c r="U18" s="95">
        <f t="shared" si="15"/>
        <v>292.5</v>
      </c>
      <c r="V18" s="95">
        <v>0.05</v>
      </c>
      <c r="W18" s="95">
        <f t="shared" si="18"/>
        <v>307.125</v>
      </c>
      <c r="X18" s="197">
        <f t="shared" si="19"/>
        <v>0.42300000000000004</v>
      </c>
      <c r="Y18" s="95">
        <v>0.48</v>
      </c>
      <c r="AC18" s="197">
        <v>0.39800000000000002</v>
      </c>
    </row>
    <row r="19" spans="1:30" x14ac:dyDescent="0.2">
      <c r="A19" s="210" t="s">
        <v>531</v>
      </c>
      <c r="B19" s="16">
        <v>7</v>
      </c>
      <c r="C19" s="116"/>
      <c r="D19" s="6" t="s">
        <v>24</v>
      </c>
      <c r="E19" s="12" t="s">
        <v>14</v>
      </c>
      <c r="F19" s="34">
        <f t="shared" si="16"/>
        <v>666</v>
      </c>
      <c r="G19" s="35">
        <f t="shared" si="17"/>
        <v>450</v>
      </c>
      <c r="H19" s="23">
        <f t="shared" si="12"/>
        <v>436.5</v>
      </c>
      <c r="I19" s="24">
        <f t="shared" si="12"/>
        <v>427.5</v>
      </c>
      <c r="J19" s="25">
        <f t="shared" si="12"/>
        <v>423</v>
      </c>
      <c r="L19" s="76">
        <v>655</v>
      </c>
      <c r="M19" s="99">
        <f t="shared" si="13"/>
        <v>666</v>
      </c>
      <c r="N19" s="76">
        <v>442</v>
      </c>
      <c r="O19" s="99">
        <f t="shared" si="14"/>
        <v>450</v>
      </c>
      <c r="P19" s="188" t="s">
        <v>460</v>
      </c>
      <c r="Q19" s="94" t="s">
        <v>291</v>
      </c>
      <c r="R19" s="95">
        <v>270</v>
      </c>
      <c r="S19" s="95">
        <f>540/16/1.5</f>
        <v>22.5</v>
      </c>
      <c r="T19" s="95"/>
      <c r="U19" s="95">
        <f t="shared" si="15"/>
        <v>292.5</v>
      </c>
      <c r="V19" s="95">
        <v>0.05</v>
      </c>
      <c r="W19" s="95">
        <f t="shared" si="18"/>
        <v>307.125</v>
      </c>
      <c r="X19" s="197">
        <f t="shared" si="19"/>
        <v>0.42300000000000004</v>
      </c>
      <c r="Y19" s="95">
        <v>0.48</v>
      </c>
      <c r="AC19" s="197">
        <v>0.39800000000000002</v>
      </c>
    </row>
    <row r="20" spans="1:30" x14ac:dyDescent="0.2">
      <c r="A20" s="208" t="s">
        <v>536</v>
      </c>
      <c r="B20" s="19">
        <v>8</v>
      </c>
      <c r="C20" s="59"/>
      <c r="D20" s="7" t="s">
        <v>432</v>
      </c>
      <c r="E20" s="12" t="s">
        <v>14</v>
      </c>
      <c r="F20" s="34">
        <f t="shared" si="16"/>
        <v>688</v>
      </c>
      <c r="G20" s="35">
        <f t="shared" si="17"/>
        <v>478</v>
      </c>
      <c r="H20" s="23">
        <f t="shared" si="12"/>
        <v>463.65999999999997</v>
      </c>
      <c r="I20" s="24">
        <f t="shared" si="12"/>
        <v>454.09999999999997</v>
      </c>
      <c r="J20" s="25">
        <f t="shared" si="12"/>
        <v>449.32</v>
      </c>
      <c r="L20" s="76">
        <v>688</v>
      </c>
      <c r="M20" s="99">
        <f t="shared" si="13"/>
        <v>688</v>
      </c>
      <c r="N20" s="76">
        <v>478</v>
      </c>
      <c r="O20" s="99">
        <f t="shared" si="14"/>
        <v>478</v>
      </c>
      <c r="P20" s="188" t="s">
        <v>460</v>
      </c>
      <c r="Q20" s="94" t="s">
        <v>291</v>
      </c>
      <c r="R20" s="95">
        <v>300</v>
      </c>
      <c r="S20" s="95">
        <f>540/16/1.5</f>
        <v>22.5</v>
      </c>
      <c r="T20" s="95"/>
      <c r="U20" s="95">
        <f t="shared" si="15"/>
        <v>322.5</v>
      </c>
      <c r="V20" s="95">
        <v>0.05</v>
      </c>
      <c r="W20" s="95">
        <f t="shared" si="18"/>
        <v>338.625</v>
      </c>
      <c r="X20" s="200">
        <v>0.37</v>
      </c>
      <c r="Y20" s="95">
        <v>0.44</v>
      </c>
      <c r="AC20" s="197">
        <v>0.37</v>
      </c>
    </row>
    <row r="21" spans="1:30" x14ac:dyDescent="0.2">
      <c r="A21" s="211" t="s">
        <v>532</v>
      </c>
      <c r="B21" s="19">
        <v>9</v>
      </c>
      <c r="C21" s="245"/>
      <c r="D21" s="7" t="s">
        <v>22</v>
      </c>
      <c r="E21" s="13" t="s">
        <v>14</v>
      </c>
      <c r="F21" s="34">
        <f t="shared" si="16"/>
        <v>691</v>
      </c>
      <c r="G21" s="35">
        <f t="shared" si="17"/>
        <v>467</v>
      </c>
      <c r="H21" s="23">
        <f t="shared" si="12"/>
        <v>452.99</v>
      </c>
      <c r="I21" s="24">
        <f t="shared" si="12"/>
        <v>443.65</v>
      </c>
      <c r="J21" s="25">
        <f t="shared" si="12"/>
        <v>438.97999999999996</v>
      </c>
      <c r="L21" s="76">
        <v>691</v>
      </c>
      <c r="M21" s="99">
        <f t="shared" si="13"/>
        <v>691</v>
      </c>
      <c r="N21" s="76">
        <v>467</v>
      </c>
      <c r="O21" s="99">
        <f t="shared" si="14"/>
        <v>467</v>
      </c>
      <c r="P21" s="88"/>
      <c r="Q21" s="244" t="s">
        <v>277</v>
      </c>
      <c r="R21" s="199">
        <v>275</v>
      </c>
      <c r="S21" s="95">
        <f>1400/24</f>
        <v>58.333333333333336</v>
      </c>
      <c r="T21" s="95"/>
      <c r="U21" s="95">
        <f t="shared" si="15"/>
        <v>333.33333333333331</v>
      </c>
      <c r="V21" s="95">
        <v>0.05</v>
      </c>
      <c r="W21" s="95">
        <f t="shared" si="18"/>
        <v>350</v>
      </c>
      <c r="X21" s="200">
        <v>0.29499999999999998</v>
      </c>
      <c r="Y21" s="95">
        <v>0.48</v>
      </c>
      <c r="AA21" s="164">
        <f>+F21/2000</f>
        <v>0.34549999999999997</v>
      </c>
      <c r="AB21" s="164">
        <f>+G21/2000</f>
        <v>0.23350000000000001</v>
      </c>
      <c r="AC21" s="95">
        <v>0.29499999999999998</v>
      </c>
    </row>
    <row r="22" spans="1:30" x14ac:dyDescent="0.2">
      <c r="A22" s="14"/>
      <c r="B22" s="20"/>
      <c r="C22" s="20"/>
      <c r="D22" s="2" t="s">
        <v>28</v>
      </c>
      <c r="E22" s="14"/>
      <c r="F22" s="48"/>
      <c r="G22" s="48"/>
      <c r="H22" s="48"/>
      <c r="I22" s="48"/>
      <c r="J22" s="48"/>
      <c r="L22" s="78"/>
      <c r="M22" s="182"/>
      <c r="N22" s="78"/>
      <c r="O22" s="182"/>
      <c r="P22" s="88"/>
      <c r="U22" s="1">
        <f t="shared" si="1"/>
        <v>0</v>
      </c>
      <c r="W22" s="1">
        <f t="shared" si="2"/>
        <v>0</v>
      </c>
    </row>
    <row r="23" spans="1:30" x14ac:dyDescent="0.2">
      <c r="A23" s="207" t="s">
        <v>785</v>
      </c>
      <c r="B23" s="61"/>
      <c r="C23" s="130"/>
      <c r="D23" s="8" t="s">
        <v>786</v>
      </c>
      <c r="E23" s="15" t="s">
        <v>196</v>
      </c>
      <c r="F23" s="34">
        <f>+M23</f>
        <v>50</v>
      </c>
      <c r="G23" s="35">
        <f>+O23</f>
        <v>37</v>
      </c>
      <c r="H23" s="23">
        <f t="shared" si="4"/>
        <v>35.89</v>
      </c>
      <c r="I23" s="24">
        <f t="shared" si="0"/>
        <v>35.15</v>
      </c>
      <c r="J23" s="25">
        <f t="shared" si="0"/>
        <v>34.78</v>
      </c>
      <c r="L23" s="78"/>
      <c r="M23" s="99">
        <v>50</v>
      </c>
      <c r="N23" s="78"/>
      <c r="O23" s="99">
        <v>37</v>
      </c>
      <c r="P23" s="88"/>
      <c r="Q23" s="94" t="s">
        <v>290</v>
      </c>
      <c r="R23" s="95">
        <v>25</v>
      </c>
      <c r="S23" s="95"/>
      <c r="T23" s="95"/>
      <c r="U23" s="95">
        <f t="shared" ref="U23" si="21">SUM(R23:T23)</f>
        <v>25</v>
      </c>
      <c r="V23" s="95">
        <v>0.05</v>
      </c>
      <c r="W23" s="95">
        <f t="shared" si="2"/>
        <v>26.25</v>
      </c>
      <c r="X23" s="246">
        <v>0.46</v>
      </c>
      <c r="Y23" s="95">
        <v>0.39800000000000002</v>
      </c>
    </row>
    <row r="24" spans="1:30" x14ac:dyDescent="0.2">
      <c r="A24" s="207" t="s">
        <v>592</v>
      </c>
      <c r="B24" s="61">
        <v>10</v>
      </c>
      <c r="C24" s="130"/>
      <c r="D24" s="8" t="s">
        <v>29</v>
      </c>
      <c r="E24" s="15" t="s">
        <v>14</v>
      </c>
      <c r="F24" s="34">
        <f>+L24</f>
        <v>986</v>
      </c>
      <c r="G24" s="35">
        <f>+N24</f>
        <v>705</v>
      </c>
      <c r="H24" s="23">
        <f t="shared" si="4"/>
        <v>683.85</v>
      </c>
      <c r="I24" s="24">
        <f t="shared" si="0"/>
        <v>669.75</v>
      </c>
      <c r="J24" s="25">
        <f t="shared" si="0"/>
        <v>662.69999999999993</v>
      </c>
      <c r="L24" s="99">
        <v>986</v>
      </c>
      <c r="M24" s="182">
        <f t="shared" si="5"/>
        <v>986</v>
      </c>
      <c r="N24" s="99">
        <v>705</v>
      </c>
      <c r="O24" s="182">
        <f t="shared" si="6"/>
        <v>705</v>
      </c>
      <c r="P24" s="188" t="s">
        <v>460</v>
      </c>
      <c r="Q24" s="94" t="s">
        <v>290</v>
      </c>
      <c r="R24" s="95">
        <v>383</v>
      </c>
      <c r="S24" s="95">
        <f>1525/24</f>
        <v>63.541666666666664</v>
      </c>
      <c r="T24" s="95"/>
      <c r="U24" s="95">
        <f t="shared" si="1"/>
        <v>446.54166666666669</v>
      </c>
      <c r="V24" s="95">
        <v>0.05</v>
      </c>
      <c r="W24" s="95">
        <f t="shared" si="2"/>
        <v>468.86875000000003</v>
      </c>
      <c r="X24" s="200">
        <v>0.46</v>
      </c>
      <c r="Y24" s="95">
        <v>0.39800000000000002</v>
      </c>
      <c r="AC24" s="197">
        <v>0.46</v>
      </c>
      <c r="AD24" s="198">
        <v>2.5000000000000001E-2</v>
      </c>
    </row>
    <row r="25" spans="1:30" x14ac:dyDescent="0.2">
      <c r="A25" s="207" t="s">
        <v>591</v>
      </c>
      <c r="B25" s="59">
        <v>11</v>
      </c>
      <c r="C25" s="130"/>
      <c r="D25" s="6" t="s">
        <v>30</v>
      </c>
      <c r="E25" s="12" t="s">
        <v>14</v>
      </c>
      <c r="F25" s="34">
        <f>+M25</f>
        <v>867</v>
      </c>
      <c r="G25" s="35">
        <f>+O25</f>
        <v>621</v>
      </c>
      <c r="H25" s="23">
        <f t="shared" si="4"/>
        <v>602.37</v>
      </c>
      <c r="I25" s="24">
        <f t="shared" si="0"/>
        <v>589.94999999999993</v>
      </c>
      <c r="J25" s="25">
        <f t="shared" si="0"/>
        <v>583.74</v>
      </c>
      <c r="L25" s="76">
        <v>782</v>
      </c>
      <c r="M25" s="99">
        <f t="shared" si="5"/>
        <v>867</v>
      </c>
      <c r="N25" s="76">
        <v>560</v>
      </c>
      <c r="O25" s="99">
        <f t="shared" si="6"/>
        <v>621</v>
      </c>
      <c r="P25" s="190"/>
      <c r="Q25" s="94" t="s">
        <v>290</v>
      </c>
      <c r="R25" s="95">
        <v>273</v>
      </c>
      <c r="S25" s="95">
        <f>1525/24</f>
        <v>63.541666666666664</v>
      </c>
      <c r="T25" s="95"/>
      <c r="U25" s="95">
        <f t="shared" si="1"/>
        <v>336.54166666666669</v>
      </c>
      <c r="V25" s="95">
        <v>0.05</v>
      </c>
      <c r="W25" s="95">
        <f t="shared" si="2"/>
        <v>353.36875000000003</v>
      </c>
      <c r="X25" s="200">
        <v>0.70499999999999996</v>
      </c>
      <c r="Y25" s="95">
        <v>0.39700000000000002</v>
      </c>
      <c r="AC25" s="197">
        <v>0.70499999999999996</v>
      </c>
    </row>
    <row r="26" spans="1:30" x14ac:dyDescent="0.2">
      <c r="A26" s="207" t="s">
        <v>590</v>
      </c>
      <c r="B26" s="59">
        <v>12</v>
      </c>
      <c r="C26" s="130"/>
      <c r="D26" s="6" t="s">
        <v>31</v>
      </c>
      <c r="E26" s="12" t="s">
        <v>14</v>
      </c>
      <c r="F26" s="34">
        <f t="shared" ref="F26:F29" si="22">+M26</f>
        <v>741</v>
      </c>
      <c r="G26" s="35">
        <f t="shared" ref="G26:G29" si="23">+O26</f>
        <v>531</v>
      </c>
      <c r="H26" s="23">
        <f t="shared" si="4"/>
        <v>515.06999999999994</v>
      </c>
      <c r="I26" s="24">
        <f t="shared" si="4"/>
        <v>504.45</v>
      </c>
      <c r="J26" s="25">
        <f t="shared" si="4"/>
        <v>499.14</v>
      </c>
      <c r="L26" s="76">
        <v>722</v>
      </c>
      <c r="M26" s="99">
        <f t="shared" si="5"/>
        <v>741</v>
      </c>
      <c r="N26" s="76">
        <v>517</v>
      </c>
      <c r="O26" s="99">
        <f t="shared" si="6"/>
        <v>531</v>
      </c>
      <c r="P26" s="190"/>
      <c r="Q26" s="94" t="s">
        <v>290</v>
      </c>
      <c r="R26" s="95">
        <v>248</v>
      </c>
      <c r="S26" s="95">
        <f>1525/24</f>
        <v>63.541666666666664</v>
      </c>
      <c r="T26" s="95"/>
      <c r="U26" s="95">
        <f t="shared" si="1"/>
        <v>311.54166666666669</v>
      </c>
      <c r="V26" s="95">
        <v>0.05</v>
      </c>
      <c r="W26" s="95">
        <f t="shared" si="2"/>
        <v>327.11875000000003</v>
      </c>
      <c r="X26" s="200">
        <v>0.57499999999999996</v>
      </c>
      <c r="Y26" s="95">
        <v>0.39700000000000002</v>
      </c>
      <c r="AC26" s="197">
        <v>0.57499999999999996</v>
      </c>
    </row>
    <row r="27" spans="1:30" x14ac:dyDescent="0.2">
      <c r="A27" s="210" t="s">
        <v>594</v>
      </c>
      <c r="B27" s="59">
        <v>13</v>
      </c>
      <c r="C27" s="116"/>
      <c r="D27" s="6" t="s">
        <v>32</v>
      </c>
      <c r="E27" s="12" t="s">
        <v>14</v>
      </c>
      <c r="F27" s="34">
        <f t="shared" si="22"/>
        <v>362</v>
      </c>
      <c r="G27" s="35">
        <f t="shared" si="23"/>
        <v>259</v>
      </c>
      <c r="H27" s="23">
        <f t="shared" ref="H27:J46" si="24">$G27*(1-H$1)</f>
        <v>251.23</v>
      </c>
      <c r="I27" s="24">
        <f t="shared" si="24"/>
        <v>246.04999999999998</v>
      </c>
      <c r="J27" s="25">
        <f t="shared" si="24"/>
        <v>243.45999999999998</v>
      </c>
      <c r="L27" s="76">
        <v>357</v>
      </c>
      <c r="M27" s="99">
        <f t="shared" si="5"/>
        <v>362</v>
      </c>
      <c r="N27" s="76">
        <v>256</v>
      </c>
      <c r="O27" s="99">
        <f t="shared" si="6"/>
        <v>259</v>
      </c>
      <c r="P27" s="188" t="s">
        <v>460</v>
      </c>
      <c r="Q27" s="94" t="s">
        <v>319</v>
      </c>
      <c r="R27" s="95">
        <v>95</v>
      </c>
      <c r="S27" s="95">
        <f>1000/24</f>
        <v>41.666666666666664</v>
      </c>
      <c r="T27" s="95"/>
      <c r="U27" s="95">
        <f t="shared" si="1"/>
        <v>136.66666666666666</v>
      </c>
      <c r="V27" s="95">
        <v>0.05</v>
      </c>
      <c r="W27" s="95">
        <f t="shared" si="2"/>
        <v>143.5</v>
      </c>
      <c r="X27" s="197">
        <f t="shared" ref="X27:X29" si="25">+AC27+$AD$24</f>
        <v>0.755</v>
      </c>
      <c r="Y27" s="95">
        <v>0.39700000000000002</v>
      </c>
      <c r="AC27" s="197">
        <v>0.73</v>
      </c>
    </row>
    <row r="28" spans="1:30" x14ac:dyDescent="0.2">
      <c r="A28" s="210" t="s">
        <v>589</v>
      </c>
      <c r="B28" s="60">
        <v>14</v>
      </c>
      <c r="C28" s="245"/>
      <c r="D28" s="7" t="s">
        <v>33</v>
      </c>
      <c r="E28" s="13" t="s">
        <v>14</v>
      </c>
      <c r="F28" s="34">
        <f t="shared" si="22"/>
        <v>793</v>
      </c>
      <c r="G28" s="35">
        <f t="shared" si="23"/>
        <v>566</v>
      </c>
      <c r="H28" s="23">
        <f t="shared" si="24"/>
        <v>549.02</v>
      </c>
      <c r="I28" s="24">
        <f t="shared" si="24"/>
        <v>537.69999999999993</v>
      </c>
      <c r="J28" s="25">
        <f t="shared" si="24"/>
        <v>532.04</v>
      </c>
      <c r="L28" s="77">
        <v>783</v>
      </c>
      <c r="M28" s="99">
        <f t="shared" si="5"/>
        <v>793</v>
      </c>
      <c r="N28" s="77">
        <v>559</v>
      </c>
      <c r="O28" s="99">
        <f t="shared" si="6"/>
        <v>566</v>
      </c>
      <c r="P28" s="88"/>
      <c r="Q28" s="244" t="s">
        <v>277</v>
      </c>
      <c r="R28" s="199">
        <v>215</v>
      </c>
      <c r="S28" s="95">
        <f>1400/24</f>
        <v>58.333333333333336</v>
      </c>
      <c r="T28" s="95"/>
      <c r="U28" s="95">
        <f t="shared" si="1"/>
        <v>273.33333333333331</v>
      </c>
      <c r="V28" s="95">
        <v>0.05</v>
      </c>
      <c r="W28" s="95">
        <f t="shared" si="2"/>
        <v>287</v>
      </c>
      <c r="X28" s="197">
        <f t="shared" si="25"/>
        <v>0.91500000000000004</v>
      </c>
      <c r="Y28" s="95">
        <v>0.4</v>
      </c>
      <c r="AA28" s="164">
        <f>+F28/2000</f>
        <v>0.39650000000000002</v>
      </c>
      <c r="AB28" s="164">
        <f>+G28/2000</f>
        <v>0.28299999999999997</v>
      </c>
      <c r="AC28" s="95">
        <v>0.89</v>
      </c>
    </row>
    <row r="29" spans="1:30" x14ac:dyDescent="0.2">
      <c r="A29" s="206" t="s">
        <v>593</v>
      </c>
      <c r="B29" s="60">
        <v>15</v>
      </c>
      <c r="C29" s="130"/>
      <c r="D29" s="7" t="s">
        <v>206</v>
      </c>
      <c r="E29" s="13" t="s">
        <v>14</v>
      </c>
      <c r="F29" s="34">
        <f t="shared" si="22"/>
        <v>653</v>
      </c>
      <c r="G29" s="35">
        <f t="shared" si="23"/>
        <v>344</v>
      </c>
      <c r="H29" s="23">
        <f t="shared" si="24"/>
        <v>333.68</v>
      </c>
      <c r="I29" s="24">
        <f t="shared" si="24"/>
        <v>326.8</v>
      </c>
      <c r="J29" s="25">
        <f t="shared" si="24"/>
        <v>323.35999999999996</v>
      </c>
      <c r="L29" s="77">
        <v>640</v>
      </c>
      <c r="M29" s="99">
        <f t="shared" si="5"/>
        <v>653</v>
      </c>
      <c r="N29" s="77">
        <v>322</v>
      </c>
      <c r="O29" s="99">
        <f t="shared" si="6"/>
        <v>344</v>
      </c>
      <c r="P29" s="190"/>
      <c r="Q29" s="94" t="s">
        <v>290</v>
      </c>
      <c r="R29" s="95">
        <v>126</v>
      </c>
      <c r="S29" s="95">
        <f>1525/24</f>
        <v>63.541666666666664</v>
      </c>
      <c r="T29" s="95"/>
      <c r="U29" s="95">
        <f t="shared" si="1"/>
        <v>189.54166666666666</v>
      </c>
      <c r="V29" s="95">
        <v>0.05</v>
      </c>
      <c r="W29" s="95">
        <f t="shared" si="2"/>
        <v>199.01875000000001</v>
      </c>
      <c r="X29" s="197">
        <f t="shared" si="25"/>
        <v>0.67700000000000005</v>
      </c>
      <c r="Y29" s="95">
        <v>0.9</v>
      </c>
      <c r="AC29" s="197">
        <v>0.65200000000000002</v>
      </c>
    </row>
    <row r="30" spans="1:30" x14ac:dyDescent="0.2">
      <c r="A30" s="14"/>
      <c r="B30" s="20"/>
      <c r="C30" s="20"/>
      <c r="D30" s="2" t="s">
        <v>34</v>
      </c>
      <c r="E30" s="14"/>
      <c r="F30" s="48"/>
      <c r="G30" s="48"/>
      <c r="H30" s="48"/>
      <c r="I30" s="48"/>
      <c r="J30" s="48"/>
      <c r="L30" s="78"/>
      <c r="M30" s="182"/>
      <c r="N30" s="78"/>
      <c r="O30" s="182"/>
      <c r="P30" s="88"/>
      <c r="U30" s="1">
        <f t="shared" si="1"/>
        <v>0</v>
      </c>
      <c r="W30" s="1">
        <f t="shared" si="2"/>
        <v>0</v>
      </c>
    </row>
    <row r="31" spans="1:30" x14ac:dyDescent="0.2">
      <c r="A31" s="207" t="s">
        <v>581</v>
      </c>
      <c r="B31" s="61">
        <v>16</v>
      </c>
      <c r="C31" s="118"/>
      <c r="D31" s="8" t="s">
        <v>35</v>
      </c>
      <c r="E31" s="15" t="s">
        <v>14</v>
      </c>
      <c r="F31" s="34">
        <f>+M31</f>
        <v>435</v>
      </c>
      <c r="G31" s="35">
        <f>+O31</f>
        <v>323</v>
      </c>
      <c r="H31" s="23">
        <f t="shared" si="24"/>
        <v>313.31</v>
      </c>
      <c r="I31" s="24">
        <f t="shared" si="24"/>
        <v>306.84999999999997</v>
      </c>
      <c r="J31" s="25">
        <f t="shared" si="24"/>
        <v>303.62</v>
      </c>
      <c r="L31" s="79">
        <v>428</v>
      </c>
      <c r="M31" s="99">
        <f t="shared" si="5"/>
        <v>435</v>
      </c>
      <c r="N31" s="79">
        <v>318</v>
      </c>
      <c r="O31" s="99">
        <f t="shared" si="6"/>
        <v>323</v>
      </c>
      <c r="P31" s="188" t="s">
        <v>460</v>
      </c>
      <c r="Q31" s="94" t="s">
        <v>322</v>
      </c>
      <c r="R31" s="95">
        <v>145</v>
      </c>
      <c r="S31" s="95">
        <f>1000/24</f>
        <v>41.666666666666664</v>
      </c>
      <c r="T31" s="95"/>
      <c r="U31" s="95">
        <f t="shared" si="1"/>
        <v>186.66666666666666</v>
      </c>
      <c r="V31" s="95">
        <v>0.05</v>
      </c>
      <c r="W31" s="95">
        <f t="shared" si="2"/>
        <v>196</v>
      </c>
      <c r="X31" s="197">
        <f>+AC31+$AD$31</f>
        <v>0.60049999999999992</v>
      </c>
      <c r="Y31" s="95">
        <v>0.34499999999999997</v>
      </c>
      <c r="AC31" s="95">
        <v>0.57599999999999996</v>
      </c>
      <c r="AD31" s="1">
        <v>2.4500000000000001E-2</v>
      </c>
    </row>
    <row r="32" spans="1:30" x14ac:dyDescent="0.2">
      <c r="A32" s="207" t="s">
        <v>582</v>
      </c>
      <c r="B32" s="59">
        <v>17</v>
      </c>
      <c r="C32" s="115"/>
      <c r="D32" s="6" t="s">
        <v>36</v>
      </c>
      <c r="E32" s="12" t="s">
        <v>14</v>
      </c>
      <c r="F32" s="34">
        <f t="shared" ref="F32:F40" si="26">+M32</f>
        <v>447</v>
      </c>
      <c r="G32" s="35">
        <f t="shared" ref="G32:G40" si="27">+O32</f>
        <v>319</v>
      </c>
      <c r="H32" s="23">
        <f t="shared" si="24"/>
        <v>309.43</v>
      </c>
      <c r="I32" s="24">
        <f t="shared" si="24"/>
        <v>303.05</v>
      </c>
      <c r="J32" s="25">
        <f t="shared" si="24"/>
        <v>299.85999999999996</v>
      </c>
      <c r="L32" s="76">
        <v>441</v>
      </c>
      <c r="M32" s="99">
        <f t="shared" si="5"/>
        <v>447</v>
      </c>
      <c r="N32" s="76">
        <v>315</v>
      </c>
      <c r="O32" s="99">
        <f t="shared" si="6"/>
        <v>319</v>
      </c>
      <c r="P32" s="188" t="s">
        <v>460</v>
      </c>
      <c r="Q32" s="94" t="s">
        <v>355</v>
      </c>
      <c r="R32" s="95">
        <v>120</v>
      </c>
      <c r="S32" s="95">
        <f>1000/24</f>
        <v>41.666666666666664</v>
      </c>
      <c r="T32" s="95"/>
      <c r="U32" s="95">
        <f t="shared" si="1"/>
        <v>161.66666666666666</v>
      </c>
      <c r="V32" s="95">
        <v>0.05</v>
      </c>
      <c r="W32" s="95">
        <f t="shared" si="2"/>
        <v>169.75</v>
      </c>
      <c r="X32" s="197">
        <f t="shared" ref="X32:X40" si="28">+AC32+$AD$31</f>
        <v>0.82450000000000001</v>
      </c>
      <c r="Y32" s="95">
        <v>0.4</v>
      </c>
      <c r="AC32" s="95">
        <v>0.8</v>
      </c>
    </row>
    <row r="33" spans="1:30" x14ac:dyDescent="0.2">
      <c r="A33" s="210" t="s">
        <v>580</v>
      </c>
      <c r="B33" s="59">
        <v>18</v>
      </c>
      <c r="C33" s="116"/>
      <c r="D33" s="6" t="s">
        <v>37</v>
      </c>
      <c r="E33" s="12" t="s">
        <v>14</v>
      </c>
      <c r="F33" s="34">
        <f t="shared" si="26"/>
        <v>424</v>
      </c>
      <c r="G33" s="35">
        <f t="shared" si="27"/>
        <v>304</v>
      </c>
      <c r="H33" s="23">
        <f t="shared" si="24"/>
        <v>294.88</v>
      </c>
      <c r="I33" s="24">
        <f t="shared" si="24"/>
        <v>288.8</v>
      </c>
      <c r="J33" s="25">
        <f t="shared" si="24"/>
        <v>285.76</v>
      </c>
      <c r="L33" s="76">
        <v>391</v>
      </c>
      <c r="M33" s="99">
        <f t="shared" si="5"/>
        <v>424</v>
      </c>
      <c r="N33" s="76">
        <v>281</v>
      </c>
      <c r="O33" s="99">
        <f t="shared" si="6"/>
        <v>304</v>
      </c>
      <c r="P33" s="190"/>
      <c r="Q33" s="94" t="s">
        <v>306</v>
      </c>
      <c r="R33" s="95">
        <v>140</v>
      </c>
      <c r="S33" s="95">
        <f>200/10/1.5</f>
        <v>13.333333333333334</v>
      </c>
      <c r="T33" s="95"/>
      <c r="U33" s="95">
        <f t="shared" si="1"/>
        <v>153.33333333333334</v>
      </c>
      <c r="V33" s="95">
        <v>0.05</v>
      </c>
      <c r="W33" s="95">
        <f t="shared" si="2"/>
        <v>161.00000000000003</v>
      </c>
      <c r="X33" s="200">
        <v>0.83499999999999996</v>
      </c>
      <c r="Y33" s="95">
        <v>0.39200000000000002</v>
      </c>
      <c r="AC33" s="95">
        <v>0.83499999999999996</v>
      </c>
    </row>
    <row r="34" spans="1:30" x14ac:dyDescent="0.2">
      <c r="A34" s="205" t="s">
        <v>578</v>
      </c>
      <c r="B34" s="59">
        <v>19</v>
      </c>
      <c r="C34" s="245"/>
      <c r="D34" s="6" t="s">
        <v>38</v>
      </c>
      <c r="E34" s="12" t="s">
        <v>14</v>
      </c>
      <c r="F34" s="34">
        <f t="shared" si="26"/>
        <v>463</v>
      </c>
      <c r="G34" s="35">
        <f t="shared" si="27"/>
        <v>331</v>
      </c>
      <c r="H34" s="23">
        <f t="shared" si="24"/>
        <v>321.07</v>
      </c>
      <c r="I34" s="24">
        <f t="shared" si="24"/>
        <v>314.45</v>
      </c>
      <c r="J34" s="25">
        <f t="shared" si="24"/>
        <v>311.14</v>
      </c>
      <c r="L34" s="76">
        <v>436</v>
      </c>
      <c r="M34" s="99">
        <f>ROUND(+W34*(1+X34)*(1+Y34)*(1+$R$1),0)</f>
        <v>463</v>
      </c>
      <c r="N34" s="76">
        <v>312</v>
      </c>
      <c r="O34" s="99">
        <f t="shared" si="6"/>
        <v>331</v>
      </c>
      <c r="P34" s="88"/>
      <c r="Q34" s="244" t="s">
        <v>277</v>
      </c>
      <c r="R34" s="199">
        <v>145</v>
      </c>
      <c r="S34" s="95">
        <v>59</v>
      </c>
      <c r="T34" s="95"/>
      <c r="U34" s="95">
        <f>SUM(R34:T34)</f>
        <v>204</v>
      </c>
      <c r="V34" s="95">
        <v>0.05</v>
      </c>
      <c r="W34" s="95">
        <f t="shared" si="2"/>
        <v>214.20000000000002</v>
      </c>
      <c r="X34" s="197">
        <v>0.5</v>
      </c>
      <c r="Y34" s="95">
        <v>0.4</v>
      </c>
      <c r="AA34" s="164">
        <f>+F34/2000</f>
        <v>0.23150000000000001</v>
      </c>
      <c r="AB34" s="164">
        <f>+G34/2000</f>
        <v>0.16550000000000001</v>
      </c>
      <c r="AC34" s="95">
        <v>0.49099999999999999</v>
      </c>
    </row>
    <row r="35" spans="1:30" x14ac:dyDescent="0.2">
      <c r="A35" s="212" t="s">
        <v>577</v>
      </c>
      <c r="B35" s="16">
        <v>20</v>
      </c>
      <c r="C35" s="70"/>
      <c r="D35" s="6" t="s">
        <v>39</v>
      </c>
      <c r="E35" s="12" t="s">
        <v>14</v>
      </c>
      <c r="F35" s="34">
        <f t="shared" si="26"/>
        <v>459</v>
      </c>
      <c r="G35" s="35">
        <f t="shared" si="27"/>
        <v>341</v>
      </c>
      <c r="H35" s="23">
        <f t="shared" si="24"/>
        <v>330.77</v>
      </c>
      <c r="I35" s="24">
        <f t="shared" si="24"/>
        <v>323.95</v>
      </c>
      <c r="J35" s="25">
        <f t="shared" si="24"/>
        <v>320.53999999999996</v>
      </c>
      <c r="L35" s="76">
        <v>454</v>
      </c>
      <c r="M35" s="99">
        <f t="shared" si="5"/>
        <v>459</v>
      </c>
      <c r="N35" s="76">
        <v>337</v>
      </c>
      <c r="O35" s="99">
        <f t="shared" si="6"/>
        <v>341</v>
      </c>
      <c r="P35" s="188" t="s">
        <v>460</v>
      </c>
      <c r="Q35" s="94" t="s">
        <v>322</v>
      </c>
      <c r="R35" s="95">
        <v>95</v>
      </c>
      <c r="S35" s="95">
        <f>1000/24</f>
        <v>41.666666666666664</v>
      </c>
      <c r="T35" s="95"/>
      <c r="U35" s="95">
        <f t="shared" si="1"/>
        <v>136.66666666666666</v>
      </c>
      <c r="V35" s="95">
        <v>0.05</v>
      </c>
      <c r="W35" s="95">
        <f t="shared" si="2"/>
        <v>143.5</v>
      </c>
      <c r="X35" s="197">
        <f t="shared" si="28"/>
        <v>1.3045</v>
      </c>
      <c r="Y35" s="95">
        <v>0.34899999999999998</v>
      </c>
      <c r="AC35" s="95">
        <v>1.28</v>
      </c>
    </row>
    <row r="36" spans="1:30" x14ac:dyDescent="0.2">
      <c r="A36" s="211" t="s">
        <v>523</v>
      </c>
      <c r="B36" s="59">
        <v>21</v>
      </c>
      <c r="C36" s="117"/>
      <c r="D36" s="7" t="s">
        <v>48</v>
      </c>
      <c r="E36" s="13" t="s">
        <v>14</v>
      </c>
      <c r="F36" s="34">
        <f t="shared" si="26"/>
        <v>419</v>
      </c>
      <c r="G36" s="35">
        <f t="shared" si="27"/>
        <v>290</v>
      </c>
      <c r="H36" s="23">
        <f t="shared" si="24"/>
        <v>281.3</v>
      </c>
      <c r="I36" s="24">
        <f t="shared" si="24"/>
        <v>275.5</v>
      </c>
      <c r="J36" s="25">
        <f t="shared" si="24"/>
        <v>272.59999999999997</v>
      </c>
      <c r="L36" s="77">
        <v>408</v>
      </c>
      <c r="M36" s="99">
        <f t="shared" si="5"/>
        <v>419</v>
      </c>
      <c r="N36" s="77">
        <v>283</v>
      </c>
      <c r="O36" s="99">
        <f t="shared" si="6"/>
        <v>290</v>
      </c>
      <c r="P36" s="190"/>
      <c r="Q36" s="94" t="s">
        <v>306</v>
      </c>
      <c r="R36" s="95">
        <v>160</v>
      </c>
      <c r="S36" s="95">
        <f>200/10/1.5</f>
        <v>13.333333333333334</v>
      </c>
      <c r="T36" s="95"/>
      <c r="U36" s="95">
        <f>SUM(R36:T36)</f>
        <v>173.33333333333334</v>
      </c>
      <c r="V36" s="95">
        <v>0.05</v>
      </c>
      <c r="W36" s="95">
        <f t="shared" si="2"/>
        <v>182.00000000000003</v>
      </c>
      <c r="X36" s="197">
        <f t="shared" si="28"/>
        <v>0.54949999999999999</v>
      </c>
      <c r="Y36" s="95">
        <v>0.441</v>
      </c>
      <c r="AC36" s="95">
        <v>0.52500000000000002</v>
      </c>
    </row>
    <row r="37" spans="1:30" x14ac:dyDescent="0.2">
      <c r="A37" s="213" t="s">
        <v>579</v>
      </c>
      <c r="C37" s="245"/>
      <c r="D37" s="7" t="s">
        <v>439</v>
      </c>
      <c r="E37" s="13" t="s">
        <v>14</v>
      </c>
      <c r="F37" s="34">
        <f t="shared" si="26"/>
        <v>745</v>
      </c>
      <c r="G37" s="35">
        <f t="shared" si="27"/>
        <v>611</v>
      </c>
      <c r="H37" s="23">
        <f t="shared" si="24"/>
        <v>592.66999999999996</v>
      </c>
      <c r="I37" s="24">
        <f t="shared" si="24"/>
        <v>580.44999999999993</v>
      </c>
      <c r="J37" s="25">
        <f t="shared" si="24"/>
        <v>574.33999999999992</v>
      </c>
      <c r="L37" s="77">
        <v>730</v>
      </c>
      <c r="M37" s="99">
        <f t="shared" si="5"/>
        <v>745</v>
      </c>
      <c r="N37" s="77">
        <v>598</v>
      </c>
      <c r="O37" s="99">
        <f t="shared" si="6"/>
        <v>611</v>
      </c>
      <c r="P37" s="88"/>
      <c r="Q37" s="244" t="s">
        <v>277</v>
      </c>
      <c r="R37" s="199">
        <v>395</v>
      </c>
      <c r="S37" s="95">
        <v>59</v>
      </c>
      <c r="T37" s="95"/>
      <c r="U37" s="95">
        <f>SUM(R37:T37)</f>
        <v>454</v>
      </c>
      <c r="V37" s="95">
        <v>0.05</v>
      </c>
      <c r="W37" s="95">
        <f t="shared" si="2"/>
        <v>476.70000000000005</v>
      </c>
      <c r="X37" s="197">
        <f t="shared" si="28"/>
        <v>0.2445</v>
      </c>
      <c r="Y37" s="95">
        <v>0.22</v>
      </c>
      <c r="AA37" s="164">
        <f>+F37/2000</f>
        <v>0.3725</v>
      </c>
      <c r="AB37" s="164">
        <f>+G37/2000</f>
        <v>0.30549999999999999</v>
      </c>
      <c r="AC37" s="95">
        <v>0.22</v>
      </c>
    </row>
    <row r="38" spans="1:30" x14ac:dyDescent="0.2">
      <c r="A38" s="210" t="s">
        <v>575</v>
      </c>
      <c r="C38" s="116"/>
      <c r="D38" s="6" t="s">
        <v>40</v>
      </c>
      <c r="E38" s="12" t="s">
        <v>14</v>
      </c>
      <c r="F38" s="34">
        <f t="shared" si="26"/>
        <v>367</v>
      </c>
      <c r="G38" s="35">
        <f t="shared" si="27"/>
        <v>232</v>
      </c>
      <c r="H38" s="23">
        <f t="shared" si="24"/>
        <v>225.04</v>
      </c>
      <c r="I38" s="24">
        <f t="shared" si="24"/>
        <v>220.39999999999998</v>
      </c>
      <c r="J38" s="25">
        <f t="shared" si="24"/>
        <v>218.07999999999998</v>
      </c>
      <c r="L38" s="76">
        <v>357</v>
      </c>
      <c r="M38" s="99">
        <f t="shared" si="5"/>
        <v>367</v>
      </c>
      <c r="N38" s="76">
        <v>225</v>
      </c>
      <c r="O38" s="99">
        <f t="shared" si="6"/>
        <v>232</v>
      </c>
      <c r="P38" s="190"/>
      <c r="Q38" s="94" t="s">
        <v>306</v>
      </c>
      <c r="R38" s="95">
        <f>115+10</f>
        <v>125</v>
      </c>
      <c r="S38" s="95">
        <f>200/10/1.5</f>
        <v>13.333333333333334</v>
      </c>
      <c r="T38" s="95"/>
      <c r="U38" s="95">
        <f t="shared" si="1"/>
        <v>138.33333333333334</v>
      </c>
      <c r="V38" s="95">
        <v>0.05</v>
      </c>
      <c r="W38" s="95">
        <f t="shared" si="2"/>
        <v>145.25000000000003</v>
      </c>
      <c r="X38" s="197">
        <f t="shared" si="28"/>
        <v>0.54849999999999999</v>
      </c>
      <c r="Y38" s="95">
        <v>0.58499999999999996</v>
      </c>
      <c r="AC38" s="95">
        <v>0.52400000000000002</v>
      </c>
    </row>
    <row r="39" spans="1:30" x14ac:dyDescent="0.2">
      <c r="A39" s="205" t="s">
        <v>576</v>
      </c>
      <c r="C39" s="150"/>
      <c r="D39" s="6" t="s">
        <v>41</v>
      </c>
      <c r="E39" s="12" t="s">
        <v>14</v>
      </c>
      <c r="F39" s="34">
        <f t="shared" si="26"/>
        <v>325</v>
      </c>
      <c r="G39" s="35">
        <f>+O39</f>
        <v>225</v>
      </c>
      <c r="H39" s="23">
        <f t="shared" si="24"/>
        <v>218.25</v>
      </c>
      <c r="I39" s="24">
        <f t="shared" si="24"/>
        <v>213.75</v>
      </c>
      <c r="J39" s="25">
        <f t="shared" si="24"/>
        <v>211.5</v>
      </c>
      <c r="L39" s="76">
        <v>309</v>
      </c>
      <c r="M39" s="99">
        <f t="shared" si="5"/>
        <v>325</v>
      </c>
      <c r="N39" s="76">
        <v>214</v>
      </c>
      <c r="O39" s="99">
        <f>ROUND(+W39*(1+X39)*(1+$R$1),0)</f>
        <v>225</v>
      </c>
      <c r="P39" s="190"/>
      <c r="Q39" s="94" t="s">
        <v>307</v>
      </c>
      <c r="R39" s="95">
        <v>130</v>
      </c>
      <c r="S39" s="95">
        <v>23</v>
      </c>
      <c r="T39" s="95"/>
      <c r="U39" s="95">
        <f t="shared" si="1"/>
        <v>153</v>
      </c>
      <c r="V39" s="95">
        <v>0.05</v>
      </c>
      <c r="W39" s="95">
        <f t="shared" si="2"/>
        <v>160.65</v>
      </c>
      <c r="X39" s="197">
        <f t="shared" si="28"/>
        <v>0.35950000000000004</v>
      </c>
      <c r="Y39" s="95">
        <v>0.44500000000000001</v>
      </c>
      <c r="AC39" s="95">
        <v>0.33500000000000002</v>
      </c>
    </row>
    <row r="40" spans="1:30" x14ac:dyDescent="0.2">
      <c r="A40" s="12" t="s">
        <v>574</v>
      </c>
      <c r="C40" s="150"/>
      <c r="D40" s="7" t="s">
        <v>42</v>
      </c>
      <c r="E40" s="13" t="s">
        <v>14</v>
      </c>
      <c r="F40" s="34">
        <f t="shared" si="26"/>
        <v>251</v>
      </c>
      <c r="G40" s="35">
        <f t="shared" si="27"/>
        <v>173</v>
      </c>
      <c r="H40" s="23">
        <f t="shared" si="24"/>
        <v>167.81</v>
      </c>
      <c r="I40" s="24">
        <f t="shared" si="24"/>
        <v>164.35</v>
      </c>
      <c r="J40" s="25">
        <f t="shared" si="24"/>
        <v>162.62</v>
      </c>
      <c r="L40" s="76">
        <v>236</v>
      </c>
      <c r="M40" s="99">
        <f t="shared" si="5"/>
        <v>251</v>
      </c>
      <c r="N40" s="76">
        <v>163</v>
      </c>
      <c r="O40" s="99">
        <f t="shared" si="6"/>
        <v>173</v>
      </c>
      <c r="P40" s="190"/>
      <c r="Q40" s="94" t="s">
        <v>301</v>
      </c>
      <c r="R40" s="95">
        <v>95</v>
      </c>
      <c r="S40" s="95">
        <v>23</v>
      </c>
      <c r="T40" s="95"/>
      <c r="U40" s="95">
        <f t="shared" si="1"/>
        <v>118</v>
      </c>
      <c r="V40" s="95">
        <v>0.05</v>
      </c>
      <c r="W40" s="95">
        <f t="shared" si="2"/>
        <v>123.9</v>
      </c>
      <c r="X40" s="197">
        <f t="shared" si="28"/>
        <v>0.35450000000000004</v>
      </c>
      <c r="Y40" s="95">
        <v>0.45</v>
      </c>
      <c r="AC40" s="95">
        <v>0.33</v>
      </c>
    </row>
    <row r="41" spans="1:30" ht="15" x14ac:dyDescent="0.25">
      <c r="A41" s="12" t="s">
        <v>678</v>
      </c>
      <c r="C41" s="150"/>
      <c r="D41" s="7" t="s">
        <v>763</v>
      </c>
      <c r="E41" s="13" t="s">
        <v>14</v>
      </c>
      <c r="F41" s="221">
        <f>+M41</f>
        <v>287</v>
      </c>
      <c r="G41" s="35">
        <f>+O41</f>
        <v>198</v>
      </c>
      <c r="H41" s="23">
        <f t="shared" si="24"/>
        <v>192.06</v>
      </c>
      <c r="I41" s="24">
        <f t="shared" si="24"/>
        <v>188.1</v>
      </c>
      <c r="J41" s="25">
        <f t="shared" si="24"/>
        <v>186.11999999999998</v>
      </c>
      <c r="K41"/>
      <c r="L41" s="76">
        <v>270</v>
      </c>
      <c r="M41" s="99">
        <f>ROUND(+W41*(1+X41)*(1+Y41)*(1+$R$1),0)</f>
        <v>287</v>
      </c>
      <c r="N41" s="76">
        <v>190</v>
      </c>
      <c r="O41" s="99">
        <f t="shared" si="6"/>
        <v>198</v>
      </c>
      <c r="P41"/>
      <c r="Q41" s="94" t="s">
        <v>307</v>
      </c>
      <c r="R41" s="1">
        <v>120</v>
      </c>
      <c r="S41" s="1">
        <v>23</v>
      </c>
      <c r="U41" s="1">
        <f>SUM(Q41:T41)</f>
        <v>143</v>
      </c>
      <c r="V41" s="1">
        <v>0.05</v>
      </c>
      <c r="W41" s="1">
        <f t="shared" si="2"/>
        <v>150.15</v>
      </c>
      <c r="X41" s="1">
        <v>0.28000000000000003</v>
      </c>
      <c r="Y41" s="1">
        <v>0.45</v>
      </c>
      <c r="AC41" s="95">
        <v>0.33</v>
      </c>
    </row>
    <row r="42" spans="1:30" x14ac:dyDescent="0.2">
      <c r="A42" s="12" t="s">
        <v>679</v>
      </c>
      <c r="C42" s="150"/>
      <c r="D42" s="238" t="s">
        <v>762</v>
      </c>
      <c r="E42" s="13" t="s">
        <v>188</v>
      </c>
      <c r="F42" s="221">
        <v>912</v>
      </c>
      <c r="G42" s="35">
        <v>750</v>
      </c>
      <c r="H42" s="23">
        <f t="shared" si="24"/>
        <v>727.5</v>
      </c>
      <c r="I42" s="24">
        <f t="shared" si="24"/>
        <v>712.5</v>
      </c>
      <c r="J42" s="25">
        <f t="shared" si="24"/>
        <v>705</v>
      </c>
      <c r="L42" s="76"/>
      <c r="M42" s="99"/>
      <c r="N42" s="76"/>
      <c r="O42" s="99"/>
      <c r="P42" s="190"/>
      <c r="Q42" s="94" t="s">
        <v>307</v>
      </c>
      <c r="R42" s="95"/>
      <c r="S42" s="95"/>
      <c r="T42" s="95"/>
      <c r="U42" s="95"/>
      <c r="V42" s="95"/>
      <c r="W42" s="95"/>
      <c r="X42" s="197"/>
      <c r="Y42" s="95"/>
      <c r="AC42" s="95">
        <v>0.33</v>
      </c>
    </row>
    <row r="43" spans="1:30" x14ac:dyDescent="0.2">
      <c r="A43" s="14"/>
      <c r="B43" s="20"/>
      <c r="C43" s="20"/>
      <c r="D43" s="2" t="s">
        <v>43</v>
      </c>
      <c r="E43" s="14"/>
      <c r="F43" s="48"/>
      <c r="G43" s="48"/>
      <c r="H43" s="48"/>
      <c r="I43" s="48"/>
      <c r="J43" s="48"/>
      <c r="L43" s="78"/>
      <c r="M43" s="182"/>
      <c r="N43" s="78"/>
      <c r="O43" s="182"/>
      <c r="P43" s="88"/>
      <c r="U43" s="1">
        <f t="shared" si="1"/>
        <v>0</v>
      </c>
      <c r="W43" s="1">
        <f t="shared" si="2"/>
        <v>0</v>
      </c>
    </row>
    <row r="44" spans="1:30" x14ac:dyDescent="0.2">
      <c r="A44" s="207" t="s">
        <v>525</v>
      </c>
      <c r="B44" s="61">
        <v>22</v>
      </c>
      <c r="C44" s="118"/>
      <c r="D44" s="8" t="s">
        <v>44</v>
      </c>
      <c r="E44" s="15" t="s">
        <v>14</v>
      </c>
      <c r="F44" s="34">
        <f>+M44</f>
        <v>575</v>
      </c>
      <c r="G44" s="35">
        <f>+O44</f>
        <v>383</v>
      </c>
      <c r="H44" s="23">
        <f t="shared" si="24"/>
        <v>371.51</v>
      </c>
      <c r="I44" s="24">
        <f t="shared" si="24"/>
        <v>363.84999999999997</v>
      </c>
      <c r="J44" s="25">
        <f t="shared" si="24"/>
        <v>360.02</v>
      </c>
      <c r="L44" s="79">
        <v>569</v>
      </c>
      <c r="M44" s="99">
        <f t="shared" si="5"/>
        <v>575</v>
      </c>
      <c r="N44" s="79">
        <v>379</v>
      </c>
      <c r="O44" s="99">
        <f t="shared" si="6"/>
        <v>383</v>
      </c>
      <c r="P44" s="188"/>
      <c r="Q44" s="94" t="s">
        <v>291</v>
      </c>
      <c r="R44" s="95">
        <v>225</v>
      </c>
      <c r="S44" s="95">
        <f>540/16/1.5</f>
        <v>22.5</v>
      </c>
      <c r="T44" s="95"/>
      <c r="U44" s="95">
        <f t="shared" si="1"/>
        <v>247.5</v>
      </c>
      <c r="V44" s="95">
        <v>0.05</v>
      </c>
      <c r="W44" s="95">
        <f t="shared" si="2"/>
        <v>259.875</v>
      </c>
      <c r="X44" s="197">
        <f>+AC44+$AD$44</f>
        <v>0.432</v>
      </c>
      <c r="Y44" s="95">
        <v>0.5</v>
      </c>
      <c r="AC44" s="95">
        <v>0.41799999999999998</v>
      </c>
      <c r="AD44" s="1">
        <v>1.4E-2</v>
      </c>
    </row>
    <row r="45" spans="1:30" x14ac:dyDescent="0.2">
      <c r="A45" s="210" t="s">
        <v>524</v>
      </c>
      <c r="B45" s="59">
        <v>23</v>
      </c>
      <c r="C45" s="116"/>
      <c r="D45" s="6" t="s">
        <v>45</v>
      </c>
      <c r="E45" s="12" t="s">
        <v>14</v>
      </c>
      <c r="F45" s="34">
        <f t="shared" ref="F45:F49" si="29">+M45</f>
        <v>553</v>
      </c>
      <c r="G45" s="35">
        <f t="shared" ref="G45:G49" si="30">+O45</f>
        <v>369</v>
      </c>
      <c r="H45" s="23">
        <f t="shared" si="24"/>
        <v>357.93</v>
      </c>
      <c r="I45" s="24">
        <f t="shared" si="24"/>
        <v>350.55</v>
      </c>
      <c r="J45" s="25">
        <f t="shared" si="24"/>
        <v>346.85999999999996</v>
      </c>
      <c r="L45" s="76">
        <v>548</v>
      </c>
      <c r="M45" s="99">
        <f t="shared" si="5"/>
        <v>553</v>
      </c>
      <c r="N45" s="76">
        <v>365</v>
      </c>
      <c r="O45" s="99">
        <f t="shared" si="6"/>
        <v>369</v>
      </c>
      <c r="P45" s="188"/>
      <c r="Q45" s="94" t="s">
        <v>291</v>
      </c>
      <c r="R45" s="95">
        <v>215</v>
      </c>
      <c r="S45" s="95">
        <f t="shared" ref="S45:S49" si="31">540/16/1.5</f>
        <v>22.5</v>
      </c>
      <c r="T45" s="95"/>
      <c r="U45" s="95">
        <f t="shared" si="1"/>
        <v>237.5</v>
      </c>
      <c r="V45" s="95">
        <v>0.05</v>
      </c>
      <c r="W45" s="95">
        <f t="shared" si="2"/>
        <v>249.375</v>
      </c>
      <c r="X45" s="197">
        <f t="shared" ref="X45:X49" si="32">+AC45+$AD$44</f>
        <v>0.436</v>
      </c>
      <c r="Y45" s="95">
        <v>0.5</v>
      </c>
      <c r="AC45" s="95">
        <v>0.42199999999999999</v>
      </c>
    </row>
    <row r="46" spans="1:30" x14ac:dyDescent="0.2">
      <c r="A46" s="210" t="s">
        <v>521</v>
      </c>
      <c r="B46" s="59">
        <v>24</v>
      </c>
      <c r="C46" s="116"/>
      <c r="D46" s="6" t="s">
        <v>46</v>
      </c>
      <c r="E46" s="12" t="s">
        <v>14</v>
      </c>
      <c r="F46" s="34">
        <f t="shared" si="29"/>
        <v>575</v>
      </c>
      <c r="G46" s="35">
        <f t="shared" si="30"/>
        <v>383</v>
      </c>
      <c r="H46" s="23">
        <f t="shared" si="24"/>
        <v>371.51</v>
      </c>
      <c r="I46" s="24">
        <f t="shared" si="24"/>
        <v>363.84999999999997</v>
      </c>
      <c r="J46" s="25">
        <f t="shared" si="24"/>
        <v>360.02</v>
      </c>
      <c r="L46" s="76">
        <v>569</v>
      </c>
      <c r="M46" s="99">
        <f t="shared" si="5"/>
        <v>575</v>
      </c>
      <c r="N46" s="76">
        <v>379</v>
      </c>
      <c r="O46" s="99">
        <f t="shared" si="6"/>
        <v>383</v>
      </c>
      <c r="P46" s="188"/>
      <c r="Q46" s="94" t="s">
        <v>291</v>
      </c>
      <c r="R46" s="95">
        <v>225</v>
      </c>
      <c r="S46" s="95">
        <f t="shared" si="31"/>
        <v>22.5</v>
      </c>
      <c r="T46" s="95"/>
      <c r="U46" s="95">
        <f t="shared" si="1"/>
        <v>247.5</v>
      </c>
      <c r="V46" s="95">
        <v>0.05</v>
      </c>
      <c r="W46" s="95">
        <f t="shared" si="2"/>
        <v>259.875</v>
      </c>
      <c r="X46" s="197">
        <f t="shared" si="32"/>
        <v>0.432</v>
      </c>
      <c r="Y46" s="95">
        <v>0.5</v>
      </c>
      <c r="AC46" s="95">
        <v>0.41799999999999998</v>
      </c>
    </row>
    <row r="47" spans="1:30" x14ac:dyDescent="0.2">
      <c r="A47" s="210" t="s">
        <v>522</v>
      </c>
      <c r="B47" s="59">
        <v>25</v>
      </c>
      <c r="C47" s="116"/>
      <c r="D47" s="6" t="s">
        <v>47</v>
      </c>
      <c r="E47" s="12" t="s">
        <v>14</v>
      </c>
      <c r="F47" s="34">
        <f t="shared" si="29"/>
        <v>553</v>
      </c>
      <c r="G47" s="35">
        <f t="shared" si="30"/>
        <v>369</v>
      </c>
      <c r="H47" s="23">
        <f t="shared" ref="H47:J62" si="33">$G47*(1-H$1)</f>
        <v>357.93</v>
      </c>
      <c r="I47" s="24">
        <f t="shared" si="33"/>
        <v>350.55</v>
      </c>
      <c r="J47" s="25">
        <f t="shared" si="33"/>
        <v>346.85999999999996</v>
      </c>
      <c r="L47" s="76">
        <v>548</v>
      </c>
      <c r="M47" s="99">
        <f t="shared" si="5"/>
        <v>553</v>
      </c>
      <c r="N47" s="76">
        <v>365</v>
      </c>
      <c r="O47" s="99">
        <f t="shared" si="6"/>
        <v>369</v>
      </c>
      <c r="P47" s="188"/>
      <c r="Q47" s="94" t="s">
        <v>291</v>
      </c>
      <c r="R47" s="95">
        <v>215</v>
      </c>
      <c r="S47" s="95">
        <f t="shared" si="31"/>
        <v>22.5</v>
      </c>
      <c r="T47" s="95"/>
      <c r="U47" s="95">
        <f t="shared" si="1"/>
        <v>237.5</v>
      </c>
      <c r="V47" s="95">
        <v>0.05</v>
      </c>
      <c r="W47" s="95">
        <f t="shared" si="2"/>
        <v>249.375</v>
      </c>
      <c r="X47" s="197">
        <f t="shared" si="32"/>
        <v>0.436</v>
      </c>
      <c r="Y47" s="95">
        <v>0.5</v>
      </c>
      <c r="AC47" s="95">
        <v>0.42199999999999999</v>
      </c>
    </row>
    <row r="48" spans="1:30" x14ac:dyDescent="0.2">
      <c r="A48" s="210" t="s">
        <v>526</v>
      </c>
      <c r="B48" s="59">
        <v>26</v>
      </c>
      <c r="C48" s="116"/>
      <c r="D48" s="6" t="s">
        <v>250</v>
      </c>
      <c r="E48" s="12" t="s">
        <v>14</v>
      </c>
      <c r="F48" s="34">
        <f t="shared" si="29"/>
        <v>626</v>
      </c>
      <c r="G48" s="35">
        <f t="shared" si="30"/>
        <v>417</v>
      </c>
      <c r="H48" s="23">
        <f t="shared" si="33"/>
        <v>404.49</v>
      </c>
      <c r="I48" s="24">
        <f t="shared" si="33"/>
        <v>396.15</v>
      </c>
      <c r="J48" s="25">
        <f t="shared" si="33"/>
        <v>391.97999999999996</v>
      </c>
      <c r="L48" s="76">
        <v>620</v>
      </c>
      <c r="M48" s="99">
        <f t="shared" si="5"/>
        <v>626</v>
      </c>
      <c r="N48" s="76">
        <v>413</v>
      </c>
      <c r="O48" s="99">
        <f t="shared" si="6"/>
        <v>417</v>
      </c>
      <c r="P48" s="188"/>
      <c r="Q48" s="94" t="s">
        <v>291</v>
      </c>
      <c r="R48" s="95">
        <v>255</v>
      </c>
      <c r="S48" s="95">
        <f t="shared" si="31"/>
        <v>22.5</v>
      </c>
      <c r="T48" s="95"/>
      <c r="U48" s="95">
        <f t="shared" si="1"/>
        <v>277.5</v>
      </c>
      <c r="V48" s="95">
        <v>0.05</v>
      </c>
      <c r="W48" s="95">
        <f t="shared" si="2"/>
        <v>291.375</v>
      </c>
      <c r="X48" s="197">
        <f t="shared" si="32"/>
        <v>0.39100000000000001</v>
      </c>
      <c r="Y48" s="95">
        <v>0.5</v>
      </c>
      <c r="AC48" s="95">
        <v>0.377</v>
      </c>
    </row>
    <row r="49" spans="1:30" x14ac:dyDescent="0.2">
      <c r="A49" s="210" t="s">
        <v>527</v>
      </c>
      <c r="B49" s="59">
        <v>27</v>
      </c>
      <c r="C49" s="116"/>
      <c r="D49" s="6" t="s">
        <v>251</v>
      </c>
      <c r="E49" s="12" t="s">
        <v>14</v>
      </c>
      <c r="F49" s="34">
        <f t="shared" si="29"/>
        <v>605</v>
      </c>
      <c r="G49" s="35">
        <f t="shared" si="30"/>
        <v>404</v>
      </c>
      <c r="H49" s="23">
        <f t="shared" si="33"/>
        <v>391.88</v>
      </c>
      <c r="I49" s="24">
        <f t="shared" si="33"/>
        <v>383.79999999999995</v>
      </c>
      <c r="J49" s="25">
        <f t="shared" si="33"/>
        <v>379.76</v>
      </c>
      <c r="L49" s="76">
        <v>599</v>
      </c>
      <c r="M49" s="99">
        <f t="shared" si="5"/>
        <v>605</v>
      </c>
      <c r="N49" s="76">
        <v>399</v>
      </c>
      <c r="O49" s="99">
        <f t="shared" si="6"/>
        <v>404</v>
      </c>
      <c r="P49" s="188"/>
      <c r="Q49" s="94" t="s">
        <v>291</v>
      </c>
      <c r="R49" s="95">
        <v>245</v>
      </c>
      <c r="S49" s="95">
        <f t="shared" si="31"/>
        <v>22.5</v>
      </c>
      <c r="T49" s="95"/>
      <c r="U49" s="95">
        <f t="shared" si="1"/>
        <v>267.5</v>
      </c>
      <c r="V49" s="95">
        <v>0.05</v>
      </c>
      <c r="W49" s="95">
        <f t="shared" si="2"/>
        <v>280.875</v>
      </c>
      <c r="X49" s="197">
        <f t="shared" si="32"/>
        <v>0.39500000000000002</v>
      </c>
      <c r="Y49" s="95">
        <v>0.5</v>
      </c>
      <c r="AC49" s="95">
        <v>0.38100000000000001</v>
      </c>
    </row>
    <row r="50" spans="1:30" x14ac:dyDescent="0.2">
      <c r="A50" s="14"/>
      <c r="B50" s="20"/>
      <c r="C50" s="20"/>
      <c r="D50" s="2" t="s">
        <v>49</v>
      </c>
      <c r="E50" s="14"/>
      <c r="F50" s="48"/>
      <c r="G50" s="48"/>
      <c r="H50" s="48"/>
      <c r="I50" s="48"/>
      <c r="J50" s="48"/>
      <c r="L50" s="78"/>
      <c r="M50" s="182"/>
      <c r="N50" s="78"/>
      <c r="O50" s="182"/>
      <c r="P50" s="88"/>
      <c r="U50" s="1">
        <f t="shared" si="1"/>
        <v>0</v>
      </c>
      <c r="W50" s="1">
        <f t="shared" si="2"/>
        <v>0</v>
      </c>
    </row>
    <row r="51" spans="1:30" x14ac:dyDescent="0.2">
      <c r="A51" s="210" t="s">
        <v>538</v>
      </c>
      <c r="B51" s="59">
        <v>28</v>
      </c>
      <c r="C51" s="116"/>
      <c r="D51" s="6" t="s">
        <v>51</v>
      </c>
      <c r="E51" s="12" t="s">
        <v>14</v>
      </c>
      <c r="F51" s="34">
        <f t="shared" ref="F51:F66" si="34">+M51</f>
        <v>484</v>
      </c>
      <c r="G51" s="35">
        <f t="shared" ref="G51:G66" si="35">+O51</f>
        <v>346</v>
      </c>
      <c r="H51" s="23">
        <f t="shared" si="33"/>
        <v>335.62</v>
      </c>
      <c r="I51" s="24">
        <f t="shared" si="33"/>
        <v>328.7</v>
      </c>
      <c r="J51" s="25">
        <f t="shared" si="33"/>
        <v>325.24</v>
      </c>
      <c r="L51" s="76">
        <v>476</v>
      </c>
      <c r="M51" s="99">
        <f t="shared" si="5"/>
        <v>484</v>
      </c>
      <c r="N51" s="76">
        <v>340</v>
      </c>
      <c r="O51" s="99">
        <f t="shared" si="6"/>
        <v>346</v>
      </c>
      <c r="P51" s="188"/>
      <c r="Q51" s="94" t="s">
        <v>446</v>
      </c>
      <c r="R51" s="95">
        <v>155</v>
      </c>
      <c r="S51" s="95">
        <f t="shared" ref="S51:S65" si="36">1000/24</f>
        <v>41.666666666666664</v>
      </c>
      <c r="T51" s="95"/>
      <c r="U51" s="95">
        <f t="shared" si="1"/>
        <v>196.66666666666666</v>
      </c>
      <c r="V51" s="95">
        <v>0.05</v>
      </c>
      <c r="W51" s="95">
        <f t="shared" si="2"/>
        <v>206.5</v>
      </c>
      <c r="X51" s="197">
        <f>+AC51+$AD$51</f>
        <v>0.625</v>
      </c>
      <c r="Y51" s="95">
        <v>0.4</v>
      </c>
      <c r="AC51" s="95">
        <v>0.6</v>
      </c>
      <c r="AD51" s="1">
        <v>2.5000000000000001E-2</v>
      </c>
    </row>
    <row r="52" spans="1:30" x14ac:dyDescent="0.2">
      <c r="A52" s="210" t="s">
        <v>540</v>
      </c>
      <c r="B52" s="59">
        <v>29</v>
      </c>
      <c r="C52" s="116"/>
      <c r="D52" s="6" t="s">
        <v>52</v>
      </c>
      <c r="E52" s="12" t="s">
        <v>14</v>
      </c>
      <c r="F52" s="34">
        <f t="shared" si="34"/>
        <v>668</v>
      </c>
      <c r="G52" s="35">
        <f t="shared" si="35"/>
        <v>477</v>
      </c>
      <c r="H52" s="23">
        <f t="shared" si="33"/>
        <v>462.69</v>
      </c>
      <c r="I52" s="24">
        <f t="shared" si="33"/>
        <v>453.15</v>
      </c>
      <c r="J52" s="25">
        <f t="shared" si="33"/>
        <v>448.38</v>
      </c>
      <c r="L52" s="76">
        <v>658</v>
      </c>
      <c r="M52" s="99">
        <f t="shared" si="5"/>
        <v>668</v>
      </c>
      <c r="N52" s="76">
        <v>470</v>
      </c>
      <c r="O52" s="99">
        <f t="shared" si="6"/>
        <v>477</v>
      </c>
      <c r="P52" s="188"/>
      <c r="Q52" s="94" t="s">
        <v>446</v>
      </c>
      <c r="R52" s="95">
        <v>230</v>
      </c>
      <c r="S52" s="95">
        <f t="shared" si="36"/>
        <v>41.666666666666664</v>
      </c>
      <c r="T52" s="95"/>
      <c r="U52" s="95">
        <f t="shared" si="1"/>
        <v>271.66666666666669</v>
      </c>
      <c r="V52" s="95">
        <v>0.05</v>
      </c>
      <c r="W52" s="95">
        <f t="shared" si="2"/>
        <v>285.25000000000006</v>
      </c>
      <c r="X52" s="197">
        <f t="shared" ref="X52:X66" si="37">+AC52+$AD$51</f>
        <v>0.625</v>
      </c>
      <c r="Y52" s="95">
        <v>0.4</v>
      </c>
      <c r="AC52" s="95">
        <v>0.6</v>
      </c>
    </row>
    <row r="53" spans="1:30" x14ac:dyDescent="0.2">
      <c r="A53" s="210" t="s">
        <v>539</v>
      </c>
      <c r="B53" s="59">
        <v>30</v>
      </c>
      <c r="C53" s="116"/>
      <c r="D53" s="6" t="s">
        <v>53</v>
      </c>
      <c r="E53" s="12" t="s">
        <v>14</v>
      </c>
      <c r="F53" s="34">
        <f t="shared" si="34"/>
        <v>447</v>
      </c>
      <c r="G53" s="35">
        <f t="shared" si="35"/>
        <v>319</v>
      </c>
      <c r="H53" s="23">
        <f t="shared" si="33"/>
        <v>309.43</v>
      </c>
      <c r="I53" s="24">
        <f t="shared" si="33"/>
        <v>303.05</v>
      </c>
      <c r="J53" s="25">
        <f t="shared" si="33"/>
        <v>299.85999999999996</v>
      </c>
      <c r="L53" s="76">
        <v>440</v>
      </c>
      <c r="M53" s="99">
        <f t="shared" si="5"/>
        <v>447</v>
      </c>
      <c r="N53" s="76">
        <v>314</v>
      </c>
      <c r="O53" s="99">
        <f t="shared" si="6"/>
        <v>319</v>
      </c>
      <c r="P53" s="188"/>
      <c r="Q53" s="94" t="s">
        <v>446</v>
      </c>
      <c r="R53" s="95">
        <v>140</v>
      </c>
      <c r="S53" s="95">
        <f t="shared" si="36"/>
        <v>41.666666666666664</v>
      </c>
      <c r="T53" s="95"/>
      <c r="U53" s="95">
        <f t="shared" si="1"/>
        <v>181.66666666666666</v>
      </c>
      <c r="V53" s="95">
        <v>0.05</v>
      </c>
      <c r="W53" s="95">
        <f t="shared" si="2"/>
        <v>190.75</v>
      </c>
      <c r="X53" s="197">
        <f t="shared" si="37"/>
        <v>0.625</v>
      </c>
      <c r="Y53" s="95">
        <v>0.4</v>
      </c>
      <c r="AC53" s="95">
        <v>0.6</v>
      </c>
    </row>
    <row r="54" spans="1:30" x14ac:dyDescent="0.2">
      <c r="A54" s="210" t="s">
        <v>541</v>
      </c>
      <c r="B54" s="59">
        <v>31</v>
      </c>
      <c r="C54" s="116"/>
      <c r="D54" s="6" t="s">
        <v>54</v>
      </c>
      <c r="E54" s="12" t="s">
        <v>14</v>
      </c>
      <c r="F54" s="34">
        <f t="shared" si="34"/>
        <v>644</v>
      </c>
      <c r="G54" s="35">
        <f t="shared" si="35"/>
        <v>460</v>
      </c>
      <c r="H54" s="23">
        <f t="shared" si="33"/>
        <v>446.2</v>
      </c>
      <c r="I54" s="24">
        <f t="shared" si="33"/>
        <v>437</v>
      </c>
      <c r="J54" s="25">
        <f t="shared" si="33"/>
        <v>432.4</v>
      </c>
      <c r="L54" s="76">
        <v>634</v>
      </c>
      <c r="M54" s="99">
        <f t="shared" si="5"/>
        <v>644</v>
      </c>
      <c r="N54" s="76">
        <v>453</v>
      </c>
      <c r="O54" s="99">
        <f t="shared" si="6"/>
        <v>460</v>
      </c>
      <c r="P54" s="188"/>
      <c r="Q54" s="94" t="s">
        <v>446</v>
      </c>
      <c r="R54" s="95">
        <v>220</v>
      </c>
      <c r="S54" s="95">
        <f t="shared" si="36"/>
        <v>41.666666666666664</v>
      </c>
      <c r="T54" s="95"/>
      <c r="U54" s="95">
        <f t="shared" si="1"/>
        <v>261.66666666666669</v>
      </c>
      <c r="V54" s="95">
        <v>0.05</v>
      </c>
      <c r="W54" s="95">
        <f t="shared" si="2"/>
        <v>274.75000000000006</v>
      </c>
      <c r="X54" s="197">
        <f t="shared" si="37"/>
        <v>0.625</v>
      </c>
      <c r="Y54" s="95">
        <v>0.4</v>
      </c>
      <c r="AC54" s="95">
        <v>0.6</v>
      </c>
    </row>
    <row r="55" spans="1:30" x14ac:dyDescent="0.2">
      <c r="A55" s="210" t="s">
        <v>547</v>
      </c>
      <c r="B55" s="59">
        <v>32</v>
      </c>
      <c r="C55" s="116"/>
      <c r="D55" s="6" t="s">
        <v>55</v>
      </c>
      <c r="E55" s="12" t="s">
        <v>14</v>
      </c>
      <c r="F55" s="34">
        <f t="shared" si="34"/>
        <v>514</v>
      </c>
      <c r="G55" s="35">
        <f t="shared" si="35"/>
        <v>367</v>
      </c>
      <c r="H55" s="23">
        <f t="shared" si="33"/>
        <v>355.99</v>
      </c>
      <c r="I55" s="24">
        <f t="shared" si="33"/>
        <v>348.65</v>
      </c>
      <c r="J55" s="25">
        <f t="shared" si="33"/>
        <v>344.97999999999996</v>
      </c>
      <c r="L55" s="76">
        <v>506</v>
      </c>
      <c r="M55" s="99">
        <f t="shared" si="5"/>
        <v>514</v>
      </c>
      <c r="N55" s="76">
        <v>362</v>
      </c>
      <c r="O55" s="99">
        <f t="shared" si="6"/>
        <v>367</v>
      </c>
      <c r="P55" s="188"/>
      <c r="Q55" s="94" t="s">
        <v>446</v>
      </c>
      <c r="R55" s="95">
        <v>155</v>
      </c>
      <c r="S55" s="95">
        <f t="shared" si="36"/>
        <v>41.666666666666664</v>
      </c>
      <c r="T55" s="95"/>
      <c r="U55" s="95">
        <f t="shared" si="1"/>
        <v>196.66666666666666</v>
      </c>
      <c r="V55" s="95">
        <v>0.05</v>
      </c>
      <c r="W55" s="95">
        <f t="shared" si="2"/>
        <v>206.5</v>
      </c>
      <c r="X55" s="197">
        <f t="shared" si="37"/>
        <v>0.72499999999999998</v>
      </c>
      <c r="Y55" s="95">
        <v>0.4</v>
      </c>
      <c r="AC55" s="95">
        <v>0.7</v>
      </c>
    </row>
    <row r="56" spans="1:30" x14ac:dyDescent="0.2">
      <c r="A56" s="208" t="s">
        <v>548</v>
      </c>
      <c r="B56" s="59">
        <v>33</v>
      </c>
      <c r="C56" s="116"/>
      <c r="D56" s="6" t="s">
        <v>56</v>
      </c>
      <c r="E56" s="12" t="s">
        <v>14</v>
      </c>
      <c r="F56" s="34">
        <f t="shared" si="34"/>
        <v>474</v>
      </c>
      <c r="G56" s="35">
        <f t="shared" si="35"/>
        <v>339</v>
      </c>
      <c r="H56" s="23">
        <f t="shared" si="33"/>
        <v>328.83</v>
      </c>
      <c r="I56" s="24">
        <f t="shared" si="33"/>
        <v>322.05</v>
      </c>
      <c r="J56" s="25">
        <f t="shared" si="33"/>
        <v>318.65999999999997</v>
      </c>
      <c r="L56" s="76">
        <v>468</v>
      </c>
      <c r="M56" s="99">
        <f t="shared" si="5"/>
        <v>474</v>
      </c>
      <c r="N56" s="76">
        <v>334</v>
      </c>
      <c r="O56" s="99">
        <f t="shared" si="6"/>
        <v>339</v>
      </c>
      <c r="P56" s="188"/>
      <c r="Q56" s="94" t="s">
        <v>446</v>
      </c>
      <c r="R56" s="95">
        <v>140</v>
      </c>
      <c r="S56" s="95">
        <f t="shared" si="36"/>
        <v>41.666666666666664</v>
      </c>
      <c r="T56" s="95"/>
      <c r="U56" s="95">
        <f t="shared" si="1"/>
        <v>181.66666666666666</v>
      </c>
      <c r="V56" s="95">
        <v>0.05</v>
      </c>
      <c r="W56" s="95">
        <f t="shared" si="2"/>
        <v>190.75</v>
      </c>
      <c r="X56" s="197">
        <f t="shared" si="37"/>
        <v>0.72499999999999998</v>
      </c>
      <c r="Y56" s="95">
        <v>0.4</v>
      </c>
      <c r="AC56" s="95">
        <v>0.7</v>
      </c>
    </row>
    <row r="57" spans="1:30" x14ac:dyDescent="0.2">
      <c r="A57" s="210" t="s">
        <v>549</v>
      </c>
      <c r="B57" s="59">
        <v>34</v>
      </c>
      <c r="C57" s="116"/>
      <c r="D57" s="6" t="s">
        <v>57</v>
      </c>
      <c r="E57" s="12" t="s">
        <v>14</v>
      </c>
      <c r="F57" s="34">
        <f t="shared" si="34"/>
        <v>710</v>
      </c>
      <c r="G57" s="35">
        <f t="shared" si="35"/>
        <v>507</v>
      </c>
      <c r="H57" s="23">
        <f t="shared" si="33"/>
        <v>491.78999999999996</v>
      </c>
      <c r="I57" s="24">
        <f t="shared" si="33"/>
        <v>481.65</v>
      </c>
      <c r="J57" s="25">
        <f t="shared" si="33"/>
        <v>476.58</v>
      </c>
      <c r="L57" s="76">
        <v>699</v>
      </c>
      <c r="M57" s="99">
        <f t="shared" si="5"/>
        <v>710</v>
      </c>
      <c r="N57" s="76">
        <v>499</v>
      </c>
      <c r="O57" s="99">
        <f t="shared" si="6"/>
        <v>507</v>
      </c>
      <c r="P57" s="188"/>
      <c r="Q57" s="94" t="s">
        <v>446</v>
      </c>
      <c r="R57" s="95">
        <v>230</v>
      </c>
      <c r="S57" s="95">
        <f t="shared" si="36"/>
        <v>41.666666666666664</v>
      </c>
      <c r="T57" s="95"/>
      <c r="U57" s="95">
        <f t="shared" si="1"/>
        <v>271.66666666666669</v>
      </c>
      <c r="V57" s="95">
        <v>0.05</v>
      </c>
      <c r="W57" s="95">
        <f t="shared" si="2"/>
        <v>285.25000000000006</v>
      </c>
      <c r="X57" s="197">
        <f t="shared" si="37"/>
        <v>0.72499999999999998</v>
      </c>
      <c r="Y57" s="95">
        <v>0.4</v>
      </c>
      <c r="AC57" s="95">
        <v>0.7</v>
      </c>
    </row>
    <row r="58" spans="1:30" x14ac:dyDescent="0.2">
      <c r="A58" s="210" t="s">
        <v>542</v>
      </c>
      <c r="B58" s="59">
        <v>35</v>
      </c>
      <c r="C58" s="116"/>
      <c r="D58" s="6" t="s">
        <v>58</v>
      </c>
      <c r="E58" s="12" t="s">
        <v>14</v>
      </c>
      <c r="F58" s="34">
        <f t="shared" si="34"/>
        <v>551</v>
      </c>
      <c r="G58" s="35">
        <f t="shared" si="35"/>
        <v>393</v>
      </c>
      <c r="H58" s="23">
        <f t="shared" si="33"/>
        <v>381.21</v>
      </c>
      <c r="I58" s="24">
        <f t="shared" si="33"/>
        <v>373.34999999999997</v>
      </c>
      <c r="J58" s="25">
        <f t="shared" si="33"/>
        <v>369.41999999999996</v>
      </c>
      <c r="L58" s="76">
        <v>551</v>
      </c>
      <c r="M58" s="99">
        <f t="shared" si="5"/>
        <v>551</v>
      </c>
      <c r="N58" s="76">
        <v>393</v>
      </c>
      <c r="O58" s="99">
        <f t="shared" si="6"/>
        <v>393</v>
      </c>
      <c r="P58" s="188"/>
      <c r="Q58" s="94" t="s">
        <v>446</v>
      </c>
      <c r="R58" s="95">
        <v>155</v>
      </c>
      <c r="S58" s="95">
        <f t="shared" si="36"/>
        <v>41.666666666666664</v>
      </c>
      <c r="T58" s="95"/>
      <c r="U58" s="95">
        <f t="shared" si="1"/>
        <v>196.66666666666666</v>
      </c>
      <c r="V58" s="95">
        <v>0.05</v>
      </c>
      <c r="W58" s="95">
        <f t="shared" si="2"/>
        <v>206.5</v>
      </c>
      <c r="X58" s="200">
        <v>0.85</v>
      </c>
      <c r="Y58" s="95">
        <v>0.4</v>
      </c>
      <c r="AC58" s="95">
        <v>0.85</v>
      </c>
    </row>
    <row r="59" spans="1:30" x14ac:dyDescent="0.2">
      <c r="A59" s="210" t="s">
        <v>544</v>
      </c>
      <c r="B59" s="59">
        <v>36</v>
      </c>
      <c r="C59" s="116"/>
      <c r="D59" s="6" t="s">
        <v>59</v>
      </c>
      <c r="E59" s="12" t="s">
        <v>14</v>
      </c>
      <c r="F59" s="34">
        <f t="shared" si="34"/>
        <v>761</v>
      </c>
      <c r="G59" s="35">
        <f t="shared" si="35"/>
        <v>544</v>
      </c>
      <c r="H59" s="23">
        <f t="shared" si="33"/>
        <v>527.67999999999995</v>
      </c>
      <c r="I59" s="24">
        <f t="shared" si="33"/>
        <v>516.79999999999995</v>
      </c>
      <c r="J59" s="25">
        <f t="shared" si="33"/>
        <v>511.35999999999996</v>
      </c>
      <c r="L59" s="76">
        <v>761</v>
      </c>
      <c r="M59" s="99">
        <f t="shared" si="5"/>
        <v>761</v>
      </c>
      <c r="N59" s="76">
        <v>544</v>
      </c>
      <c r="O59" s="99">
        <f t="shared" si="6"/>
        <v>544</v>
      </c>
      <c r="P59" s="188"/>
      <c r="Q59" s="94" t="s">
        <v>446</v>
      </c>
      <c r="R59" s="95">
        <v>230</v>
      </c>
      <c r="S59" s="95">
        <f t="shared" si="36"/>
        <v>41.666666666666664</v>
      </c>
      <c r="T59" s="95"/>
      <c r="U59" s="95">
        <f t="shared" si="1"/>
        <v>271.66666666666669</v>
      </c>
      <c r="V59" s="95">
        <v>0.05</v>
      </c>
      <c r="W59" s="95">
        <f t="shared" si="2"/>
        <v>285.25000000000006</v>
      </c>
      <c r="X59" s="200">
        <v>0.85</v>
      </c>
      <c r="Y59" s="95">
        <v>0.4</v>
      </c>
      <c r="AC59" s="95">
        <v>0.85</v>
      </c>
    </row>
    <row r="60" spans="1:30" x14ac:dyDescent="0.2">
      <c r="A60" s="210" t="s">
        <v>543</v>
      </c>
      <c r="B60" s="59">
        <v>37</v>
      </c>
      <c r="C60" s="116"/>
      <c r="D60" s="6" t="s">
        <v>60</v>
      </c>
      <c r="E60" s="12" t="s">
        <v>14</v>
      </c>
      <c r="F60" s="34">
        <f t="shared" si="34"/>
        <v>509</v>
      </c>
      <c r="G60" s="35">
        <f t="shared" si="35"/>
        <v>363</v>
      </c>
      <c r="H60" s="23">
        <f t="shared" si="33"/>
        <v>352.11</v>
      </c>
      <c r="I60" s="24">
        <f t="shared" si="33"/>
        <v>344.84999999999997</v>
      </c>
      <c r="J60" s="25">
        <f t="shared" si="33"/>
        <v>341.21999999999997</v>
      </c>
      <c r="L60" s="76">
        <v>509</v>
      </c>
      <c r="M60" s="99">
        <f t="shared" si="5"/>
        <v>509</v>
      </c>
      <c r="N60" s="76">
        <v>363</v>
      </c>
      <c r="O60" s="99">
        <f t="shared" si="6"/>
        <v>363</v>
      </c>
      <c r="P60" s="188"/>
      <c r="Q60" s="94" t="s">
        <v>446</v>
      </c>
      <c r="R60" s="95">
        <v>140</v>
      </c>
      <c r="S60" s="95">
        <f t="shared" si="36"/>
        <v>41.666666666666664</v>
      </c>
      <c r="T60" s="95"/>
      <c r="U60" s="95">
        <f t="shared" si="1"/>
        <v>181.66666666666666</v>
      </c>
      <c r="V60" s="95">
        <v>0.05</v>
      </c>
      <c r="W60" s="95">
        <f t="shared" si="2"/>
        <v>190.75</v>
      </c>
      <c r="X60" s="200">
        <v>0.85</v>
      </c>
      <c r="Y60" s="95">
        <v>0.4</v>
      </c>
      <c r="AC60" s="95">
        <v>0.85</v>
      </c>
    </row>
    <row r="61" spans="1:30" x14ac:dyDescent="0.2">
      <c r="A61" s="210" t="s">
        <v>545</v>
      </c>
      <c r="B61" s="59">
        <v>38</v>
      </c>
      <c r="C61" s="116"/>
      <c r="D61" s="6" t="s">
        <v>61</v>
      </c>
      <c r="E61" s="12" t="s">
        <v>14</v>
      </c>
      <c r="F61" s="34">
        <f t="shared" si="34"/>
        <v>733</v>
      </c>
      <c r="G61" s="35">
        <f t="shared" si="35"/>
        <v>524</v>
      </c>
      <c r="H61" s="23">
        <f t="shared" si="33"/>
        <v>508.28</v>
      </c>
      <c r="I61" s="24">
        <f t="shared" si="33"/>
        <v>497.79999999999995</v>
      </c>
      <c r="J61" s="25">
        <f t="shared" si="33"/>
        <v>492.55999999999995</v>
      </c>
      <c r="L61" s="76">
        <v>733</v>
      </c>
      <c r="M61" s="99">
        <f t="shared" si="5"/>
        <v>733</v>
      </c>
      <c r="N61" s="76">
        <v>524</v>
      </c>
      <c r="O61" s="99">
        <f t="shared" si="6"/>
        <v>524</v>
      </c>
      <c r="P61" s="188"/>
      <c r="Q61" s="94" t="s">
        <v>446</v>
      </c>
      <c r="R61" s="95">
        <v>220</v>
      </c>
      <c r="S61" s="95">
        <f t="shared" si="36"/>
        <v>41.666666666666664</v>
      </c>
      <c r="T61" s="95"/>
      <c r="U61" s="95">
        <f t="shared" si="1"/>
        <v>261.66666666666669</v>
      </c>
      <c r="V61" s="95">
        <v>0.05</v>
      </c>
      <c r="W61" s="95">
        <f t="shared" si="2"/>
        <v>274.75000000000006</v>
      </c>
      <c r="X61" s="200">
        <v>0.85</v>
      </c>
      <c r="Y61" s="95">
        <v>0.4</v>
      </c>
      <c r="AC61" s="95">
        <v>0.85</v>
      </c>
    </row>
    <row r="62" spans="1:30" x14ac:dyDescent="0.2">
      <c r="A62" s="208" t="s">
        <v>550</v>
      </c>
      <c r="B62" s="59">
        <v>39</v>
      </c>
      <c r="C62" s="116"/>
      <c r="D62" s="6" t="s">
        <v>62</v>
      </c>
      <c r="E62" s="12" t="s">
        <v>14</v>
      </c>
      <c r="F62" s="34">
        <f t="shared" si="34"/>
        <v>521</v>
      </c>
      <c r="G62" s="35">
        <f t="shared" si="35"/>
        <v>372</v>
      </c>
      <c r="H62" s="23">
        <f t="shared" si="33"/>
        <v>360.84</v>
      </c>
      <c r="I62" s="24">
        <f t="shared" si="33"/>
        <v>353.4</v>
      </c>
      <c r="J62" s="25">
        <f t="shared" si="33"/>
        <v>349.68</v>
      </c>
      <c r="L62" s="76">
        <v>521</v>
      </c>
      <c r="M62" s="99">
        <f t="shared" si="5"/>
        <v>521</v>
      </c>
      <c r="N62" s="76">
        <v>372</v>
      </c>
      <c r="O62" s="99">
        <f t="shared" si="6"/>
        <v>372</v>
      </c>
      <c r="P62" s="188"/>
      <c r="Q62" s="94" t="s">
        <v>322</v>
      </c>
      <c r="R62" s="95">
        <v>155</v>
      </c>
      <c r="S62" s="95">
        <f t="shared" si="36"/>
        <v>41.666666666666664</v>
      </c>
      <c r="T62" s="95"/>
      <c r="U62" s="95">
        <f t="shared" si="1"/>
        <v>196.66666666666666</v>
      </c>
      <c r="V62" s="95">
        <v>0.05</v>
      </c>
      <c r="W62" s="95">
        <f t="shared" si="2"/>
        <v>206.5</v>
      </c>
      <c r="X62" s="200">
        <v>0.75</v>
      </c>
      <c r="Y62" s="95">
        <v>0.4</v>
      </c>
      <c r="AC62" s="95">
        <v>0.75</v>
      </c>
    </row>
    <row r="63" spans="1:30" x14ac:dyDescent="0.2">
      <c r="A63" s="210" t="s">
        <v>552</v>
      </c>
      <c r="B63" s="59">
        <v>40</v>
      </c>
      <c r="C63" s="116"/>
      <c r="D63" s="6" t="s">
        <v>63</v>
      </c>
      <c r="E63" s="12" t="s">
        <v>14</v>
      </c>
      <c r="F63" s="34">
        <f t="shared" si="34"/>
        <v>720</v>
      </c>
      <c r="G63" s="35">
        <f t="shared" si="35"/>
        <v>514</v>
      </c>
      <c r="H63" s="23">
        <f t="shared" ref="H63:J78" si="38">$G63*(1-H$1)</f>
        <v>498.58</v>
      </c>
      <c r="I63" s="24">
        <f t="shared" si="38"/>
        <v>488.29999999999995</v>
      </c>
      <c r="J63" s="25">
        <f t="shared" si="38"/>
        <v>483.15999999999997</v>
      </c>
      <c r="L63" s="76">
        <v>720</v>
      </c>
      <c r="M63" s="99">
        <f t="shared" si="5"/>
        <v>720</v>
      </c>
      <c r="N63" s="76">
        <v>514</v>
      </c>
      <c r="O63" s="99">
        <f t="shared" si="6"/>
        <v>514</v>
      </c>
      <c r="P63" s="188"/>
      <c r="Q63" s="94" t="s">
        <v>322</v>
      </c>
      <c r="R63" s="95">
        <v>230</v>
      </c>
      <c r="S63" s="95">
        <f t="shared" si="36"/>
        <v>41.666666666666664</v>
      </c>
      <c r="T63" s="95"/>
      <c r="U63" s="95">
        <f t="shared" si="1"/>
        <v>271.66666666666669</v>
      </c>
      <c r="V63" s="95">
        <v>0.05</v>
      </c>
      <c r="W63" s="95">
        <f t="shared" si="2"/>
        <v>285.25000000000006</v>
      </c>
      <c r="X63" s="200">
        <v>0.75</v>
      </c>
      <c r="Y63" s="95">
        <v>0.4</v>
      </c>
      <c r="AC63" s="95">
        <v>0.75</v>
      </c>
    </row>
    <row r="64" spans="1:30" x14ac:dyDescent="0.2">
      <c r="A64" s="210" t="s">
        <v>551</v>
      </c>
      <c r="B64" s="59">
        <v>41</v>
      </c>
      <c r="C64" s="116"/>
      <c r="D64" s="6" t="s">
        <v>64</v>
      </c>
      <c r="E64" s="12" t="s">
        <v>14</v>
      </c>
      <c r="F64" s="34">
        <f t="shared" si="34"/>
        <v>481</v>
      </c>
      <c r="G64" s="35">
        <f t="shared" si="35"/>
        <v>344</v>
      </c>
      <c r="H64" s="23">
        <f t="shared" si="38"/>
        <v>333.68</v>
      </c>
      <c r="I64" s="24">
        <f t="shared" si="38"/>
        <v>326.8</v>
      </c>
      <c r="J64" s="25">
        <f t="shared" si="38"/>
        <v>323.35999999999996</v>
      </c>
      <c r="L64" s="76">
        <v>481</v>
      </c>
      <c r="M64" s="99">
        <f t="shared" si="5"/>
        <v>481</v>
      </c>
      <c r="N64" s="76">
        <v>344</v>
      </c>
      <c r="O64" s="99">
        <f t="shared" si="6"/>
        <v>344</v>
      </c>
      <c r="P64" s="188"/>
      <c r="Q64" s="94" t="s">
        <v>322</v>
      </c>
      <c r="R64" s="95">
        <v>140</v>
      </c>
      <c r="S64" s="95">
        <f t="shared" si="36"/>
        <v>41.666666666666664</v>
      </c>
      <c r="T64" s="95"/>
      <c r="U64" s="95">
        <f t="shared" si="1"/>
        <v>181.66666666666666</v>
      </c>
      <c r="V64" s="95">
        <v>0.05</v>
      </c>
      <c r="W64" s="95">
        <f t="shared" si="2"/>
        <v>190.75</v>
      </c>
      <c r="X64" s="200">
        <v>0.75</v>
      </c>
      <c r="Y64" s="95">
        <v>0.4</v>
      </c>
      <c r="AC64" s="95">
        <v>0.75</v>
      </c>
    </row>
    <row r="65" spans="1:30" x14ac:dyDescent="0.2">
      <c r="A65" s="210" t="s">
        <v>553</v>
      </c>
      <c r="B65" s="59">
        <v>42</v>
      </c>
      <c r="C65" s="116"/>
      <c r="D65" s="6" t="s">
        <v>65</v>
      </c>
      <c r="E65" s="12" t="s">
        <v>14</v>
      </c>
      <c r="F65" s="34">
        <f t="shared" si="34"/>
        <v>693</v>
      </c>
      <c r="G65" s="35">
        <f t="shared" si="35"/>
        <v>495</v>
      </c>
      <c r="H65" s="23">
        <f t="shared" si="38"/>
        <v>480.15</v>
      </c>
      <c r="I65" s="24">
        <f t="shared" si="38"/>
        <v>470.25</v>
      </c>
      <c r="J65" s="25">
        <f t="shared" si="38"/>
        <v>465.29999999999995</v>
      </c>
      <c r="L65" s="76">
        <v>693</v>
      </c>
      <c r="M65" s="99">
        <f t="shared" si="5"/>
        <v>693</v>
      </c>
      <c r="N65" s="76">
        <v>495</v>
      </c>
      <c r="O65" s="99">
        <f t="shared" si="6"/>
        <v>495</v>
      </c>
      <c r="P65" s="188"/>
      <c r="Q65" s="94" t="s">
        <v>322</v>
      </c>
      <c r="R65" s="95">
        <v>220</v>
      </c>
      <c r="S65" s="95">
        <f t="shared" si="36"/>
        <v>41.666666666666664</v>
      </c>
      <c r="T65" s="95"/>
      <c r="U65" s="95">
        <f t="shared" si="1"/>
        <v>261.66666666666669</v>
      </c>
      <c r="V65" s="95">
        <v>0.05</v>
      </c>
      <c r="W65" s="95">
        <f t="shared" si="2"/>
        <v>274.75000000000006</v>
      </c>
      <c r="X65" s="200">
        <v>0.75</v>
      </c>
      <c r="Y65" s="95">
        <v>0.4</v>
      </c>
      <c r="AC65" s="95">
        <v>0.75</v>
      </c>
    </row>
    <row r="66" spans="1:30" x14ac:dyDescent="0.2">
      <c r="A66" s="205" t="s">
        <v>546</v>
      </c>
      <c r="B66" s="19">
        <v>43</v>
      </c>
      <c r="C66" s="151"/>
      <c r="D66" s="8" t="s">
        <v>426</v>
      </c>
      <c r="E66" s="12" t="s">
        <v>14</v>
      </c>
      <c r="F66" s="34">
        <f t="shared" si="34"/>
        <v>780</v>
      </c>
      <c r="G66" s="35">
        <f t="shared" si="35"/>
        <v>520</v>
      </c>
      <c r="H66" s="23">
        <f t="shared" si="38"/>
        <v>504.4</v>
      </c>
      <c r="I66" s="24">
        <f t="shared" si="38"/>
        <v>494</v>
      </c>
      <c r="J66" s="25">
        <f t="shared" si="38"/>
        <v>488.79999999999995</v>
      </c>
      <c r="L66" s="76">
        <v>767</v>
      </c>
      <c r="M66" s="99">
        <f t="shared" si="5"/>
        <v>780</v>
      </c>
      <c r="N66" s="76">
        <v>511</v>
      </c>
      <c r="O66" s="99">
        <f t="shared" si="6"/>
        <v>520</v>
      </c>
      <c r="P66" s="188"/>
      <c r="Q66" s="94" t="s">
        <v>291</v>
      </c>
      <c r="R66" s="95">
        <v>315</v>
      </c>
      <c r="S66" s="95">
        <f>540/16/1.5</f>
        <v>22.5</v>
      </c>
      <c r="T66" s="95"/>
      <c r="U66" s="95">
        <f t="shared" ref="U66" si="39">SUM(R66:T66)</f>
        <v>337.5</v>
      </c>
      <c r="V66" s="95">
        <v>0.05</v>
      </c>
      <c r="W66" s="95">
        <f t="shared" si="2"/>
        <v>354.375</v>
      </c>
      <c r="X66" s="197">
        <f t="shared" si="37"/>
        <v>0.42500000000000004</v>
      </c>
      <c r="Y66" s="95">
        <v>0.5</v>
      </c>
      <c r="AC66" s="95">
        <v>0.4</v>
      </c>
    </row>
    <row r="67" spans="1:30" x14ac:dyDescent="0.2">
      <c r="A67" s="14"/>
      <c r="B67" s="20"/>
      <c r="C67" s="20"/>
      <c r="D67" s="2" t="s">
        <v>66</v>
      </c>
      <c r="E67" s="14"/>
      <c r="F67" s="48"/>
      <c r="G67" s="48"/>
      <c r="H67" s="48"/>
      <c r="I67" s="48"/>
      <c r="J67" s="48"/>
      <c r="L67" s="78"/>
      <c r="M67" s="182"/>
      <c r="N67" s="78"/>
      <c r="O67" s="182"/>
      <c r="P67" s="88"/>
      <c r="U67" s="1">
        <f t="shared" si="1"/>
        <v>0</v>
      </c>
      <c r="W67" s="1">
        <f t="shared" si="2"/>
        <v>0</v>
      </c>
    </row>
    <row r="68" spans="1:30" x14ac:dyDescent="0.2">
      <c r="A68" s="207" t="s">
        <v>595</v>
      </c>
      <c r="B68" s="61">
        <v>44</v>
      </c>
      <c r="C68" s="118"/>
      <c r="D68" s="8" t="s">
        <v>67</v>
      </c>
      <c r="E68" s="15" t="s">
        <v>188</v>
      </c>
      <c r="F68" s="34">
        <f t="shared" ref="F68:F70" si="40">+M68</f>
        <v>203</v>
      </c>
      <c r="G68" s="35">
        <f t="shared" ref="G68:G70" si="41">+O68</f>
        <v>151</v>
      </c>
      <c r="H68" s="23">
        <f t="shared" si="38"/>
        <v>146.47</v>
      </c>
      <c r="I68" s="24">
        <f t="shared" si="38"/>
        <v>143.44999999999999</v>
      </c>
      <c r="J68" s="25">
        <f t="shared" si="38"/>
        <v>141.94</v>
      </c>
      <c r="L68" s="79">
        <v>201</v>
      </c>
      <c r="M68" s="99">
        <f t="shared" si="5"/>
        <v>203</v>
      </c>
      <c r="N68" s="79">
        <v>149</v>
      </c>
      <c r="O68" s="99">
        <f t="shared" si="6"/>
        <v>151</v>
      </c>
      <c r="P68" s="188"/>
      <c r="Q68" s="94" t="s">
        <v>322</v>
      </c>
      <c r="R68" s="95">
        <v>60</v>
      </c>
      <c r="S68" s="95">
        <f>1000/12/6</f>
        <v>13.888888888888888</v>
      </c>
      <c r="T68" s="95"/>
      <c r="U68" s="95">
        <f t="shared" si="1"/>
        <v>73.888888888888886</v>
      </c>
      <c r="V68" s="95"/>
      <c r="W68" s="95">
        <f t="shared" si="2"/>
        <v>73.888888888888886</v>
      </c>
      <c r="X68" s="197">
        <f>+AC68+$AD$68</f>
        <v>0.98399999999999999</v>
      </c>
      <c r="Y68" s="95">
        <v>0.34499999999999997</v>
      </c>
      <c r="AC68" s="95">
        <v>0.96</v>
      </c>
      <c r="AD68" s="1">
        <v>2.4E-2</v>
      </c>
    </row>
    <row r="69" spans="1:30" x14ac:dyDescent="0.2">
      <c r="A69" s="211" t="s">
        <v>597</v>
      </c>
      <c r="B69" s="59">
        <v>45</v>
      </c>
      <c r="C69" s="116"/>
      <c r="D69" s="6" t="s">
        <v>68</v>
      </c>
      <c r="E69" s="12" t="s">
        <v>188</v>
      </c>
      <c r="F69" s="34">
        <f t="shared" si="40"/>
        <v>181</v>
      </c>
      <c r="G69" s="35">
        <f t="shared" si="41"/>
        <v>134</v>
      </c>
      <c r="H69" s="23">
        <f t="shared" si="38"/>
        <v>129.97999999999999</v>
      </c>
      <c r="I69" s="24">
        <f t="shared" si="38"/>
        <v>127.3</v>
      </c>
      <c r="J69" s="25">
        <f t="shared" si="38"/>
        <v>125.96</v>
      </c>
      <c r="L69" s="76">
        <v>154</v>
      </c>
      <c r="M69" s="99">
        <f t="shared" si="5"/>
        <v>181</v>
      </c>
      <c r="N69" s="76">
        <v>114</v>
      </c>
      <c r="O69" s="99">
        <f t="shared" si="6"/>
        <v>134</v>
      </c>
      <c r="P69" s="88"/>
      <c r="Q69" s="94" t="s">
        <v>306</v>
      </c>
      <c r="R69" s="95">
        <v>64.5</v>
      </c>
      <c r="S69" s="95">
        <f>200/10/1.5</f>
        <v>13.333333333333334</v>
      </c>
      <c r="T69" s="95"/>
      <c r="U69" s="95">
        <f t="shared" si="1"/>
        <v>77.833333333333329</v>
      </c>
      <c r="V69" s="95"/>
      <c r="W69" s="95">
        <f t="shared" si="2"/>
        <v>77.833333333333329</v>
      </c>
      <c r="X69" s="197">
        <f t="shared" ref="X69" si="42">+AC69+$AD$68</f>
        <v>0.67400000000000004</v>
      </c>
      <c r="Y69" s="95">
        <v>0.35</v>
      </c>
      <c r="AC69" s="95">
        <v>0.65</v>
      </c>
    </row>
    <row r="70" spans="1:30" x14ac:dyDescent="0.2">
      <c r="A70" s="210" t="s">
        <v>596</v>
      </c>
      <c r="B70" s="60">
        <v>46</v>
      </c>
      <c r="C70" s="117"/>
      <c r="D70" s="6" t="s">
        <v>69</v>
      </c>
      <c r="E70" s="12" t="s">
        <v>188</v>
      </c>
      <c r="F70" s="34">
        <f t="shared" si="40"/>
        <v>277</v>
      </c>
      <c r="G70" s="35">
        <f t="shared" si="41"/>
        <v>207</v>
      </c>
      <c r="H70" s="23">
        <f t="shared" si="38"/>
        <v>200.79</v>
      </c>
      <c r="I70" s="24">
        <f t="shared" si="38"/>
        <v>196.64999999999998</v>
      </c>
      <c r="J70" s="25">
        <f t="shared" si="38"/>
        <v>194.57999999999998</v>
      </c>
      <c r="L70" s="76">
        <v>251</v>
      </c>
      <c r="M70" s="99">
        <f t="shared" si="5"/>
        <v>277</v>
      </c>
      <c r="N70" s="76">
        <v>187</v>
      </c>
      <c r="O70" s="99">
        <f t="shared" si="6"/>
        <v>207</v>
      </c>
      <c r="P70" s="88"/>
      <c r="Q70" s="94" t="s">
        <v>291</v>
      </c>
      <c r="R70" s="95">
        <v>125</v>
      </c>
      <c r="S70" s="95">
        <f>540/16/1.5</f>
        <v>22.5</v>
      </c>
      <c r="T70" s="95"/>
      <c r="U70" s="95">
        <f t="shared" si="1"/>
        <v>147.5</v>
      </c>
      <c r="V70" s="95"/>
      <c r="W70" s="95">
        <f t="shared" si="2"/>
        <v>147.5</v>
      </c>
      <c r="X70" s="197">
        <f>+AC70+($AD$68*0.5)</f>
        <v>0.36</v>
      </c>
      <c r="Y70" s="95">
        <v>0.34</v>
      </c>
      <c r="AC70" s="95">
        <v>0.34799999999999998</v>
      </c>
    </row>
    <row r="71" spans="1:30" x14ac:dyDescent="0.2">
      <c r="A71" s="14"/>
      <c r="B71" s="20"/>
      <c r="C71" s="20"/>
      <c r="D71" s="2" t="s">
        <v>70</v>
      </c>
      <c r="E71" s="14"/>
      <c r="F71" s="49"/>
      <c r="G71" s="50"/>
      <c r="H71" s="50"/>
      <c r="I71" s="50"/>
      <c r="J71" s="50"/>
      <c r="L71" s="80"/>
      <c r="M71" s="182"/>
      <c r="N71" s="81"/>
      <c r="O71" s="182"/>
      <c r="P71" s="88"/>
      <c r="U71" s="1">
        <f t="shared" si="1"/>
        <v>0</v>
      </c>
      <c r="W71" s="1">
        <f t="shared" si="2"/>
        <v>0</v>
      </c>
    </row>
    <row r="72" spans="1:30" x14ac:dyDescent="0.2">
      <c r="A72" s="211" t="s">
        <v>635</v>
      </c>
      <c r="B72" s="61"/>
      <c r="C72" s="118"/>
      <c r="D72" s="8" t="s">
        <v>71</v>
      </c>
      <c r="E72" s="15" t="s">
        <v>189</v>
      </c>
      <c r="F72" s="34">
        <f t="shared" ref="F72:F73" si="43">+M72</f>
        <v>30</v>
      </c>
      <c r="G72" s="35">
        <f t="shared" ref="G72:G73" si="44">+O72</f>
        <v>30</v>
      </c>
      <c r="H72" s="23">
        <f>+O72</f>
        <v>30</v>
      </c>
      <c r="I72" s="24">
        <f>+O72</f>
        <v>30</v>
      </c>
      <c r="J72" s="25">
        <f>+O72</f>
        <v>30</v>
      </c>
      <c r="L72" s="79">
        <v>25</v>
      </c>
      <c r="M72" s="99">
        <v>30</v>
      </c>
      <c r="N72" s="79">
        <v>25</v>
      </c>
      <c r="O72" s="99">
        <v>30</v>
      </c>
      <c r="P72" s="88"/>
      <c r="Q72" s="94"/>
      <c r="R72" s="95"/>
      <c r="S72" s="95"/>
      <c r="T72" s="95"/>
      <c r="U72" s="95">
        <f t="shared" si="1"/>
        <v>0</v>
      </c>
      <c r="V72" s="95"/>
      <c r="W72" s="95">
        <f t="shared" si="2"/>
        <v>0</v>
      </c>
      <c r="X72" s="95">
        <v>1.8</v>
      </c>
      <c r="Y72" s="95"/>
    </row>
    <row r="73" spans="1:30" x14ac:dyDescent="0.2">
      <c r="A73" s="211" t="s">
        <v>642</v>
      </c>
      <c r="B73" s="60"/>
      <c r="C73" s="117"/>
      <c r="D73" s="7" t="s">
        <v>72</v>
      </c>
      <c r="E73" s="13" t="s">
        <v>189</v>
      </c>
      <c r="F73" s="34">
        <f t="shared" si="43"/>
        <v>5</v>
      </c>
      <c r="G73" s="35">
        <f t="shared" si="44"/>
        <v>5</v>
      </c>
      <c r="H73" s="23">
        <f>+O73</f>
        <v>5</v>
      </c>
      <c r="I73" s="24">
        <f>+O73</f>
        <v>5</v>
      </c>
      <c r="J73" s="25">
        <f>+O73</f>
        <v>5</v>
      </c>
      <c r="L73" s="77">
        <v>4</v>
      </c>
      <c r="M73" s="99">
        <v>5</v>
      </c>
      <c r="N73" s="77">
        <v>4</v>
      </c>
      <c r="O73" s="99">
        <v>5</v>
      </c>
      <c r="P73" s="88"/>
      <c r="Q73" s="94"/>
      <c r="R73" s="95"/>
      <c r="S73" s="95"/>
      <c r="T73" s="95"/>
      <c r="U73" s="95">
        <f t="shared" si="1"/>
        <v>0</v>
      </c>
      <c r="V73" s="95"/>
      <c r="W73" s="95">
        <f t="shared" si="2"/>
        <v>0</v>
      </c>
      <c r="X73" s="95">
        <v>0.1</v>
      </c>
      <c r="Y73" s="95"/>
    </row>
    <row r="74" spans="1:30" x14ac:dyDescent="0.2">
      <c r="A74" s="14"/>
      <c r="B74" s="20"/>
      <c r="C74" s="20"/>
      <c r="D74" s="2" t="s">
        <v>73</v>
      </c>
      <c r="E74" s="14"/>
      <c r="F74" s="48"/>
      <c r="G74" s="48"/>
      <c r="H74" s="48"/>
      <c r="I74" s="48"/>
      <c r="J74" s="48"/>
      <c r="L74" s="78"/>
      <c r="M74" s="182"/>
      <c r="N74" s="78"/>
      <c r="O74" s="182"/>
      <c r="P74" s="88" t="s">
        <v>469</v>
      </c>
      <c r="U74" s="1">
        <f t="shared" si="1"/>
        <v>0</v>
      </c>
      <c r="W74" s="1">
        <f t="shared" si="2"/>
        <v>0</v>
      </c>
    </row>
    <row r="75" spans="1:30" x14ac:dyDescent="0.2">
      <c r="A75" s="207" t="s">
        <v>498</v>
      </c>
      <c r="B75" s="61">
        <v>50</v>
      </c>
      <c r="C75" s="118"/>
      <c r="D75" s="8" t="s">
        <v>74</v>
      </c>
      <c r="E75" s="15" t="s">
        <v>14</v>
      </c>
      <c r="F75" s="34">
        <f>+M75</f>
        <v>79</v>
      </c>
      <c r="G75" s="35">
        <f>+O75</f>
        <v>52</v>
      </c>
      <c r="H75" s="23">
        <f t="shared" si="38"/>
        <v>50.44</v>
      </c>
      <c r="I75" s="24">
        <f t="shared" si="38"/>
        <v>49.4</v>
      </c>
      <c r="J75" s="25">
        <f t="shared" si="38"/>
        <v>48.879999999999995</v>
      </c>
      <c r="L75" s="77">
        <v>76</v>
      </c>
      <c r="M75" s="99">
        <f t="shared" si="5"/>
        <v>79</v>
      </c>
      <c r="N75" s="77">
        <v>50</v>
      </c>
      <c r="O75" s="99">
        <f t="shared" si="6"/>
        <v>52</v>
      </c>
      <c r="P75" s="88">
        <v>31.95</v>
      </c>
      <c r="Q75" s="94" t="s">
        <v>454</v>
      </c>
      <c r="R75" s="95">
        <v>30.95</v>
      </c>
      <c r="S75" s="95"/>
      <c r="T75" s="95"/>
      <c r="U75" s="95">
        <f t="shared" si="1"/>
        <v>30.95</v>
      </c>
      <c r="V75" s="95">
        <v>0.1</v>
      </c>
      <c r="W75" s="95">
        <f t="shared" si="2"/>
        <v>34.045000000000002</v>
      </c>
      <c r="X75" s="95">
        <v>0.49</v>
      </c>
      <c r="Y75" s="95">
        <v>0.51</v>
      </c>
      <c r="AC75" s="95">
        <v>0.49</v>
      </c>
    </row>
    <row r="76" spans="1:30" x14ac:dyDescent="0.2">
      <c r="A76" s="210" t="s">
        <v>503</v>
      </c>
      <c r="B76" s="59">
        <v>51</v>
      </c>
      <c r="C76" s="116"/>
      <c r="D76" s="6" t="s">
        <v>75</v>
      </c>
      <c r="E76" s="12" t="s">
        <v>14</v>
      </c>
      <c r="F76" s="34">
        <f t="shared" ref="F76:F82" si="45">+M76</f>
        <v>52</v>
      </c>
      <c r="G76" s="35">
        <f t="shared" ref="G76:G82" si="46">+O76</f>
        <v>35</v>
      </c>
      <c r="H76" s="23">
        <f t="shared" si="38"/>
        <v>33.949999999999996</v>
      </c>
      <c r="I76" s="24">
        <f t="shared" si="38"/>
        <v>33.25</v>
      </c>
      <c r="J76" s="25">
        <f t="shared" si="38"/>
        <v>32.9</v>
      </c>
      <c r="L76" s="76">
        <v>50</v>
      </c>
      <c r="M76" s="99">
        <f t="shared" si="5"/>
        <v>52</v>
      </c>
      <c r="N76" s="76">
        <v>33</v>
      </c>
      <c r="O76" s="99">
        <f t="shared" si="6"/>
        <v>35</v>
      </c>
      <c r="P76" s="88">
        <v>23.95</v>
      </c>
      <c r="Q76" s="94" t="s">
        <v>447</v>
      </c>
      <c r="R76" s="95">
        <v>18.45</v>
      </c>
      <c r="S76" s="95"/>
      <c r="T76" s="95"/>
      <c r="U76" s="95">
        <f t="shared" si="1"/>
        <v>18.45</v>
      </c>
      <c r="V76" s="95">
        <v>0.1</v>
      </c>
      <c r="W76" s="95">
        <f t="shared" si="2"/>
        <v>20.295000000000002</v>
      </c>
      <c r="X76" s="95">
        <v>0.67</v>
      </c>
      <c r="Y76" s="95">
        <v>0.5</v>
      </c>
      <c r="Z76" s="201"/>
      <c r="AC76" s="95">
        <v>0.6</v>
      </c>
    </row>
    <row r="77" spans="1:30" x14ac:dyDescent="0.2">
      <c r="A77" s="210" t="s">
        <v>501</v>
      </c>
      <c r="B77" s="59">
        <v>52</v>
      </c>
      <c r="C77" s="116"/>
      <c r="D77" s="6" t="s">
        <v>76</v>
      </c>
      <c r="E77" s="12" t="s">
        <v>14</v>
      </c>
      <c r="F77" s="34">
        <f t="shared" si="45"/>
        <v>52</v>
      </c>
      <c r="G77" s="35">
        <f t="shared" si="46"/>
        <v>35</v>
      </c>
      <c r="H77" s="23">
        <f t="shared" si="38"/>
        <v>33.949999999999996</v>
      </c>
      <c r="I77" s="24">
        <f t="shared" si="38"/>
        <v>33.25</v>
      </c>
      <c r="J77" s="25">
        <f t="shared" si="38"/>
        <v>32.9</v>
      </c>
      <c r="L77" s="76">
        <v>50</v>
      </c>
      <c r="M77" s="99">
        <f t="shared" si="5"/>
        <v>52</v>
      </c>
      <c r="N77" s="76">
        <v>33</v>
      </c>
      <c r="O77" s="99">
        <f t="shared" si="6"/>
        <v>35</v>
      </c>
      <c r="P77" s="88">
        <v>16.100000000000001</v>
      </c>
      <c r="Q77" s="94" t="s">
        <v>447</v>
      </c>
      <c r="R77" s="95">
        <v>12.8</v>
      </c>
      <c r="S77" s="95">
        <v>7.3</v>
      </c>
      <c r="T77" s="95"/>
      <c r="U77" s="95">
        <f t="shared" ref="U77:U142" si="47">SUM(R77:T77)</f>
        <v>20.100000000000001</v>
      </c>
      <c r="V77" s="95">
        <v>0.1</v>
      </c>
      <c r="W77" s="95">
        <f t="shared" ref="W77:W142" si="48">+U77*(1+V77)</f>
        <v>22.110000000000003</v>
      </c>
      <c r="X77" s="95">
        <v>0.52</v>
      </c>
      <c r="Y77" s="95">
        <v>0.5</v>
      </c>
      <c r="Z77" s="201"/>
      <c r="AC77" s="95">
        <v>0.45</v>
      </c>
    </row>
    <row r="78" spans="1:30" x14ac:dyDescent="0.2">
      <c r="A78" s="210" t="s">
        <v>497</v>
      </c>
      <c r="B78" s="59">
        <v>53</v>
      </c>
      <c r="C78" s="116"/>
      <c r="D78" s="6" t="s">
        <v>77</v>
      </c>
      <c r="E78" s="12" t="s">
        <v>14</v>
      </c>
      <c r="F78" s="34">
        <f t="shared" si="45"/>
        <v>67</v>
      </c>
      <c r="G78" s="35">
        <f t="shared" si="46"/>
        <v>43</v>
      </c>
      <c r="H78" s="23">
        <f t="shared" si="38"/>
        <v>41.71</v>
      </c>
      <c r="I78" s="24">
        <f t="shared" si="38"/>
        <v>40.85</v>
      </c>
      <c r="J78" s="25">
        <f t="shared" si="38"/>
        <v>40.419999999999995</v>
      </c>
      <c r="L78" s="76">
        <v>63</v>
      </c>
      <c r="M78" s="99">
        <f t="shared" ref="M78:M143" si="49">ROUND(+W78*(1+X78)*(1+Y78)*(1+$R$1),0)</f>
        <v>67</v>
      </c>
      <c r="N78" s="76">
        <v>40</v>
      </c>
      <c r="O78" s="99">
        <f t="shared" ref="O78:O143" si="50">ROUND(+W78*(1+X78)*(1+$R$1),0)</f>
        <v>43</v>
      </c>
      <c r="P78" s="88">
        <v>33.1</v>
      </c>
      <c r="Q78" s="94" t="s">
        <v>462</v>
      </c>
      <c r="R78" s="95">
        <v>20.9</v>
      </c>
      <c r="S78" s="95">
        <v>7.3</v>
      </c>
      <c r="T78" s="95"/>
      <c r="U78" s="95">
        <f t="shared" si="47"/>
        <v>28.2</v>
      </c>
      <c r="V78" s="95">
        <v>0.1</v>
      </c>
      <c r="W78" s="95">
        <f t="shared" si="48"/>
        <v>31.020000000000003</v>
      </c>
      <c r="X78" s="95">
        <v>0.36</v>
      </c>
      <c r="Y78" s="95">
        <v>0.55000000000000004</v>
      </c>
      <c r="Z78" s="201"/>
      <c r="AC78" s="95">
        <v>0.36</v>
      </c>
      <c r="AD78" s="88">
        <f>+O78-W78</f>
        <v>11.979999999999997</v>
      </c>
    </row>
    <row r="79" spans="1:30" x14ac:dyDescent="0.2">
      <c r="A79" s="210" t="s">
        <v>499</v>
      </c>
      <c r="B79" s="59">
        <v>54</v>
      </c>
      <c r="C79" s="116"/>
      <c r="D79" s="6" t="s">
        <v>78</v>
      </c>
      <c r="E79" s="12" t="s">
        <v>14</v>
      </c>
      <c r="F79" s="34">
        <f t="shared" si="45"/>
        <v>67</v>
      </c>
      <c r="G79" s="35">
        <f t="shared" si="46"/>
        <v>43</v>
      </c>
      <c r="H79" s="23">
        <f t="shared" ref="H79:J82" si="51">$G79*(1-H$1)</f>
        <v>41.71</v>
      </c>
      <c r="I79" s="24">
        <f t="shared" si="51"/>
        <v>40.85</v>
      </c>
      <c r="J79" s="25">
        <f t="shared" si="51"/>
        <v>40.419999999999995</v>
      </c>
      <c r="L79" s="76">
        <v>62</v>
      </c>
      <c r="M79" s="99">
        <f t="shared" si="49"/>
        <v>67</v>
      </c>
      <c r="N79" s="76">
        <v>40</v>
      </c>
      <c r="O79" s="99">
        <f t="shared" si="50"/>
        <v>43</v>
      </c>
      <c r="P79" s="88">
        <v>33.1</v>
      </c>
      <c r="Q79" s="94" t="s">
        <v>463</v>
      </c>
      <c r="R79" s="95">
        <v>20.9</v>
      </c>
      <c r="S79" s="95">
        <v>7.3</v>
      </c>
      <c r="T79" s="95"/>
      <c r="U79" s="95">
        <f t="shared" si="47"/>
        <v>28.2</v>
      </c>
      <c r="V79" s="95">
        <v>0.1</v>
      </c>
      <c r="W79" s="95">
        <f t="shared" si="48"/>
        <v>31.020000000000003</v>
      </c>
      <c r="X79" s="95">
        <v>0.34</v>
      </c>
      <c r="Y79" s="95">
        <v>0.56000000000000005</v>
      </c>
      <c r="Z79" s="201"/>
      <c r="AC79" s="95">
        <v>0.34</v>
      </c>
      <c r="AD79" s="88">
        <f t="shared" ref="AD79:AD81" si="52">+O79-W79</f>
        <v>11.979999999999997</v>
      </c>
    </row>
    <row r="80" spans="1:30" x14ac:dyDescent="0.2">
      <c r="A80" s="210" t="s">
        <v>504</v>
      </c>
      <c r="B80" s="59">
        <v>55</v>
      </c>
      <c r="C80" s="116"/>
      <c r="D80" s="6" t="s">
        <v>79</v>
      </c>
      <c r="E80" s="12" t="s">
        <v>14</v>
      </c>
      <c r="F80" s="34">
        <f t="shared" si="45"/>
        <v>46</v>
      </c>
      <c r="G80" s="35">
        <f t="shared" si="46"/>
        <v>26</v>
      </c>
      <c r="H80" s="23">
        <f t="shared" si="51"/>
        <v>25.22</v>
      </c>
      <c r="I80" s="24">
        <f t="shared" si="51"/>
        <v>24.7</v>
      </c>
      <c r="J80" s="25">
        <f t="shared" si="51"/>
        <v>24.439999999999998</v>
      </c>
      <c r="L80" s="76">
        <v>45</v>
      </c>
      <c r="M80" s="99">
        <f t="shared" si="49"/>
        <v>46</v>
      </c>
      <c r="N80" s="76">
        <v>26</v>
      </c>
      <c r="O80" s="99">
        <f t="shared" si="50"/>
        <v>26</v>
      </c>
      <c r="P80" s="88">
        <v>16.899999999999999</v>
      </c>
      <c r="Q80" s="94" t="s">
        <v>470</v>
      </c>
      <c r="R80" s="95">
        <v>6.75</v>
      </c>
      <c r="S80" s="95">
        <v>7.3</v>
      </c>
      <c r="T80" s="95"/>
      <c r="U80" s="95">
        <f t="shared" si="47"/>
        <v>14.05</v>
      </c>
      <c r="V80" s="95">
        <v>0.1</v>
      </c>
      <c r="W80" s="95">
        <f t="shared" si="48"/>
        <v>15.455000000000002</v>
      </c>
      <c r="X80" s="95">
        <v>0.61</v>
      </c>
      <c r="Y80" s="95">
        <v>0.78</v>
      </c>
      <c r="Z80" s="201"/>
      <c r="AC80" s="95">
        <v>0.61</v>
      </c>
      <c r="AD80" s="88">
        <f t="shared" si="52"/>
        <v>10.544999999999998</v>
      </c>
    </row>
    <row r="81" spans="1:30" x14ac:dyDescent="0.2">
      <c r="A81" s="210" t="s">
        <v>500</v>
      </c>
      <c r="B81" s="59">
        <v>56</v>
      </c>
      <c r="C81" s="116"/>
      <c r="D81" s="6" t="s">
        <v>80</v>
      </c>
      <c r="E81" s="12" t="s">
        <v>14</v>
      </c>
      <c r="F81" s="34">
        <f t="shared" si="45"/>
        <v>52</v>
      </c>
      <c r="G81" s="35">
        <f t="shared" si="46"/>
        <v>35</v>
      </c>
      <c r="H81" s="23">
        <f t="shared" si="51"/>
        <v>33.949999999999996</v>
      </c>
      <c r="I81" s="24">
        <f t="shared" si="51"/>
        <v>33.25</v>
      </c>
      <c r="J81" s="25">
        <f t="shared" si="51"/>
        <v>32.9</v>
      </c>
      <c r="L81" s="76">
        <v>51</v>
      </c>
      <c r="M81" s="99">
        <f t="shared" si="49"/>
        <v>52</v>
      </c>
      <c r="N81" s="76">
        <v>31</v>
      </c>
      <c r="O81" s="99">
        <f t="shared" si="50"/>
        <v>35</v>
      </c>
      <c r="P81" s="88">
        <v>21.4</v>
      </c>
      <c r="Q81" s="94" t="s">
        <v>464</v>
      </c>
      <c r="R81" s="95">
        <v>13.8</v>
      </c>
      <c r="S81" s="95">
        <v>7.3</v>
      </c>
      <c r="T81" s="95"/>
      <c r="U81" s="95">
        <f t="shared" si="47"/>
        <v>21.1</v>
      </c>
      <c r="V81" s="95">
        <v>0.1</v>
      </c>
      <c r="W81" s="95">
        <f t="shared" si="48"/>
        <v>23.210000000000004</v>
      </c>
      <c r="X81" s="95">
        <v>0.45</v>
      </c>
      <c r="Y81" s="95">
        <v>0.5</v>
      </c>
      <c r="Z81" s="201"/>
      <c r="AC81" s="95">
        <v>0.36499999999999999</v>
      </c>
      <c r="AD81" s="88">
        <f t="shared" si="52"/>
        <v>11.789999999999996</v>
      </c>
    </row>
    <row r="82" spans="1:30" x14ac:dyDescent="0.2">
      <c r="A82" s="211" t="s">
        <v>502</v>
      </c>
      <c r="B82" s="60"/>
      <c r="C82" s="117"/>
      <c r="D82" s="7" t="s">
        <v>81</v>
      </c>
      <c r="E82" s="13" t="s">
        <v>14</v>
      </c>
      <c r="F82" s="34">
        <f t="shared" si="45"/>
        <v>104</v>
      </c>
      <c r="G82" s="35">
        <f t="shared" si="46"/>
        <v>68</v>
      </c>
      <c r="H82" s="23">
        <f t="shared" si="51"/>
        <v>65.959999999999994</v>
      </c>
      <c r="I82" s="24">
        <f t="shared" si="51"/>
        <v>64.599999999999994</v>
      </c>
      <c r="J82" s="25">
        <f t="shared" si="51"/>
        <v>63.919999999999995</v>
      </c>
      <c r="L82" s="77">
        <v>80</v>
      </c>
      <c r="M82" s="99">
        <f t="shared" si="49"/>
        <v>104</v>
      </c>
      <c r="N82" s="77">
        <v>54</v>
      </c>
      <c r="O82" s="99">
        <f t="shared" si="50"/>
        <v>68</v>
      </c>
      <c r="P82" s="88">
        <v>38.950000000000003</v>
      </c>
      <c r="Q82" s="94" t="s">
        <v>448</v>
      </c>
      <c r="R82" s="95">
        <v>35.35</v>
      </c>
      <c r="S82" s="95">
        <v>7.3</v>
      </c>
      <c r="T82" s="95"/>
      <c r="U82" s="95">
        <f t="shared" si="47"/>
        <v>42.65</v>
      </c>
      <c r="V82" s="95">
        <v>0.1</v>
      </c>
      <c r="W82" s="95">
        <f t="shared" si="48"/>
        <v>46.914999999999999</v>
      </c>
      <c r="X82" s="95">
        <v>0.4</v>
      </c>
      <c r="Y82" s="95">
        <v>0.54</v>
      </c>
      <c r="Z82" s="201"/>
      <c r="AC82" s="95">
        <v>0.4</v>
      </c>
    </row>
    <row r="83" spans="1:30" x14ac:dyDescent="0.2">
      <c r="A83" s="14"/>
      <c r="B83" s="20"/>
      <c r="C83" s="20"/>
      <c r="D83" s="2" t="s">
        <v>82</v>
      </c>
      <c r="E83" s="14"/>
      <c r="F83" s="48"/>
      <c r="G83" s="48"/>
      <c r="H83" s="48"/>
      <c r="I83" s="48"/>
      <c r="J83" s="48"/>
      <c r="L83" s="78"/>
      <c r="M83" s="182"/>
      <c r="N83" s="78"/>
      <c r="O83" s="182"/>
      <c r="P83" s="88"/>
      <c r="U83" s="1">
        <f t="shared" si="47"/>
        <v>0</v>
      </c>
      <c r="W83" s="1">
        <f t="shared" si="48"/>
        <v>0</v>
      </c>
    </row>
    <row r="84" spans="1:30" x14ac:dyDescent="0.2">
      <c r="A84" s="205" t="s">
        <v>519</v>
      </c>
      <c r="B84" s="61">
        <v>57</v>
      </c>
      <c r="C84" s="116"/>
      <c r="D84" s="8" t="s">
        <v>83</v>
      </c>
      <c r="E84" s="15" t="s">
        <v>14</v>
      </c>
      <c r="F84" s="34">
        <f>+M84</f>
        <v>321</v>
      </c>
      <c r="G84" s="35">
        <f>+O84</f>
        <v>214</v>
      </c>
      <c r="H84" s="23">
        <f t="shared" ref="H84:J99" si="53">$G84*(1-H$1)</f>
        <v>207.57999999999998</v>
      </c>
      <c r="I84" s="24">
        <f t="shared" si="53"/>
        <v>203.29999999999998</v>
      </c>
      <c r="J84" s="25">
        <f t="shared" si="53"/>
        <v>201.16</v>
      </c>
      <c r="L84" s="79">
        <v>316</v>
      </c>
      <c r="M84" s="99">
        <f t="shared" si="49"/>
        <v>321</v>
      </c>
      <c r="N84" s="79">
        <v>211</v>
      </c>
      <c r="O84" s="99">
        <f t="shared" si="50"/>
        <v>214</v>
      </c>
      <c r="P84" s="88"/>
      <c r="Q84" s="94" t="s">
        <v>465</v>
      </c>
      <c r="R84" s="95">
        <v>39.5</v>
      </c>
      <c r="S84" s="95">
        <v>77.5</v>
      </c>
      <c r="T84" s="95">
        <f>+S84*0.45</f>
        <v>34.875</v>
      </c>
      <c r="U84" s="95">
        <f t="shared" si="47"/>
        <v>151.875</v>
      </c>
      <c r="V84" s="95">
        <v>0.05</v>
      </c>
      <c r="W84" s="95">
        <f t="shared" si="48"/>
        <v>159.46875</v>
      </c>
      <c r="X84" s="197">
        <f>+AC84+$AD$84</f>
        <v>0.30200000000000005</v>
      </c>
      <c r="Y84" s="95">
        <v>0.5</v>
      </c>
      <c r="Z84" s="201"/>
      <c r="AC84" s="95">
        <v>0.27500000000000002</v>
      </c>
      <c r="AD84" s="1">
        <v>2.7E-2</v>
      </c>
    </row>
    <row r="85" spans="1:30" x14ac:dyDescent="0.2">
      <c r="A85" s="212" t="s">
        <v>510</v>
      </c>
      <c r="B85" s="59">
        <v>58</v>
      </c>
      <c r="C85" s="116"/>
      <c r="D85" s="6" t="s">
        <v>84</v>
      </c>
      <c r="E85" s="12" t="s">
        <v>14</v>
      </c>
      <c r="F85" s="34">
        <f>+L85</f>
        <v>97</v>
      </c>
      <c r="G85" s="35">
        <f>+N85</f>
        <v>69</v>
      </c>
      <c r="H85" s="23">
        <f t="shared" si="53"/>
        <v>66.929999999999993</v>
      </c>
      <c r="I85" s="24">
        <f t="shared" si="53"/>
        <v>65.55</v>
      </c>
      <c r="J85" s="25">
        <f t="shared" si="53"/>
        <v>64.86</v>
      </c>
      <c r="L85" s="99">
        <v>97</v>
      </c>
      <c r="M85" s="182">
        <f t="shared" si="49"/>
        <v>114</v>
      </c>
      <c r="N85" s="99">
        <v>69</v>
      </c>
      <c r="O85" s="182">
        <f t="shared" si="50"/>
        <v>82</v>
      </c>
      <c r="P85" s="88" t="s">
        <v>467</v>
      </c>
      <c r="Q85" s="94" t="s">
        <v>449</v>
      </c>
      <c r="R85" s="95">
        <v>42.4</v>
      </c>
      <c r="S85" s="95">
        <v>7.3</v>
      </c>
      <c r="T85" s="95"/>
      <c r="U85" s="95">
        <f t="shared" si="47"/>
        <v>49.699999999999996</v>
      </c>
      <c r="V85" s="95">
        <v>0.05</v>
      </c>
      <c r="W85" s="95">
        <f t="shared" si="48"/>
        <v>52.184999999999995</v>
      </c>
      <c r="X85" s="200">
        <v>0.52</v>
      </c>
      <c r="Y85" s="95">
        <v>0.4</v>
      </c>
      <c r="Z85" s="201"/>
      <c r="AC85" s="95">
        <v>0.52</v>
      </c>
    </row>
    <row r="86" spans="1:30" x14ac:dyDescent="0.2">
      <c r="A86" s="212" t="s">
        <v>511</v>
      </c>
      <c r="B86" s="59">
        <v>59</v>
      </c>
      <c r="C86" s="116"/>
      <c r="D86" s="6" t="s">
        <v>85</v>
      </c>
      <c r="E86" s="12" t="s">
        <v>14</v>
      </c>
      <c r="F86" s="34">
        <f t="shared" ref="F86" si="54">+L86</f>
        <v>121</v>
      </c>
      <c r="G86" s="35">
        <f t="shared" ref="G86" si="55">+N86</f>
        <v>88</v>
      </c>
      <c r="H86" s="23">
        <f t="shared" si="53"/>
        <v>85.36</v>
      </c>
      <c r="I86" s="24">
        <f t="shared" si="53"/>
        <v>83.6</v>
      </c>
      <c r="J86" s="25">
        <f t="shared" si="53"/>
        <v>82.72</v>
      </c>
      <c r="L86" s="99">
        <v>121</v>
      </c>
      <c r="M86" s="182">
        <f t="shared" si="49"/>
        <v>143</v>
      </c>
      <c r="N86" s="99">
        <v>88</v>
      </c>
      <c r="O86" s="182">
        <f t="shared" si="50"/>
        <v>105</v>
      </c>
      <c r="P86" s="88"/>
      <c r="Q86" s="94" t="s">
        <v>450</v>
      </c>
      <c r="R86" s="95">
        <v>53.2</v>
      </c>
      <c r="S86" s="95">
        <v>7.3</v>
      </c>
      <c r="T86" s="95"/>
      <c r="U86" s="95">
        <f t="shared" si="47"/>
        <v>60.5</v>
      </c>
      <c r="V86" s="95">
        <v>0.05</v>
      </c>
      <c r="W86" s="95">
        <f t="shared" si="48"/>
        <v>63.525000000000006</v>
      </c>
      <c r="X86" s="200">
        <v>0.6</v>
      </c>
      <c r="Y86" s="95">
        <v>0.37</v>
      </c>
      <c r="Z86" s="201"/>
      <c r="AC86" s="95">
        <v>0.6</v>
      </c>
    </row>
    <row r="87" spans="1:30" x14ac:dyDescent="0.2">
      <c r="A87" s="212" t="s">
        <v>512</v>
      </c>
      <c r="B87" s="59">
        <v>60</v>
      </c>
      <c r="C87" s="116"/>
      <c r="D87" s="6" t="s">
        <v>487</v>
      </c>
      <c r="E87" s="12" t="s">
        <v>14</v>
      </c>
      <c r="F87" s="34">
        <f>+M87</f>
        <v>163</v>
      </c>
      <c r="G87" s="35">
        <f>+O87</f>
        <v>121</v>
      </c>
      <c r="H87" s="23">
        <f t="shared" si="53"/>
        <v>117.36999999999999</v>
      </c>
      <c r="I87" s="24">
        <f t="shared" si="53"/>
        <v>114.94999999999999</v>
      </c>
      <c r="J87" s="25">
        <f t="shared" si="53"/>
        <v>113.74</v>
      </c>
      <c r="L87" s="76">
        <v>143</v>
      </c>
      <c r="M87" s="99">
        <f t="shared" si="49"/>
        <v>163</v>
      </c>
      <c r="N87" s="76">
        <v>106</v>
      </c>
      <c r="O87" s="99">
        <f t="shared" si="50"/>
        <v>121</v>
      </c>
      <c r="P87" s="188"/>
      <c r="Q87" s="94" t="s">
        <v>317</v>
      </c>
      <c r="R87" s="95">
        <v>40.25</v>
      </c>
      <c r="S87" s="95">
        <v>7.3</v>
      </c>
      <c r="T87" s="95"/>
      <c r="U87" s="95">
        <f t="shared" si="47"/>
        <v>47.55</v>
      </c>
      <c r="V87" s="95">
        <v>0.05</v>
      </c>
      <c r="W87" s="95">
        <f t="shared" si="48"/>
        <v>49.927500000000002</v>
      </c>
      <c r="X87" s="200">
        <v>1.35</v>
      </c>
      <c r="Y87" s="95">
        <v>0.35</v>
      </c>
      <c r="Z87" s="201"/>
      <c r="AC87" s="95">
        <v>1.8</v>
      </c>
    </row>
    <row r="88" spans="1:30" x14ac:dyDescent="0.2">
      <c r="A88" s="205" t="s">
        <v>505</v>
      </c>
      <c r="B88" s="59">
        <v>61</v>
      </c>
      <c r="C88" s="245"/>
      <c r="D88" s="6" t="s">
        <v>87</v>
      </c>
      <c r="E88" s="12" t="s">
        <v>14</v>
      </c>
      <c r="F88" s="34">
        <f t="shared" ref="F88:F93" si="56">+M88</f>
        <v>297</v>
      </c>
      <c r="G88" s="35">
        <f t="shared" ref="G88:G93" si="57">+O88</f>
        <v>212</v>
      </c>
      <c r="H88" s="23">
        <f t="shared" si="53"/>
        <v>205.64</v>
      </c>
      <c r="I88" s="24">
        <f t="shared" si="53"/>
        <v>201.39999999999998</v>
      </c>
      <c r="J88" s="25">
        <f t="shared" si="53"/>
        <v>199.28</v>
      </c>
      <c r="L88" s="76">
        <v>289</v>
      </c>
      <c r="M88" s="99">
        <f t="shared" si="49"/>
        <v>297</v>
      </c>
      <c r="N88" s="76">
        <v>206</v>
      </c>
      <c r="O88" s="99">
        <f t="shared" si="50"/>
        <v>212</v>
      </c>
      <c r="P88" s="88"/>
      <c r="Q88" s="244" t="s">
        <v>277</v>
      </c>
      <c r="R88" s="199">
        <v>133</v>
      </c>
      <c r="S88" s="95"/>
      <c r="T88" s="95"/>
      <c r="U88" s="95">
        <f t="shared" si="47"/>
        <v>133</v>
      </c>
      <c r="V88" s="95">
        <v>0.05</v>
      </c>
      <c r="W88" s="95">
        <f t="shared" si="48"/>
        <v>139.65</v>
      </c>
      <c r="X88" s="197">
        <f t="shared" ref="X88:X99" si="58">+AC88+$AD$84</f>
        <v>0.47700000000000004</v>
      </c>
      <c r="Y88" s="95">
        <v>0.4</v>
      </c>
      <c r="Z88" s="201"/>
      <c r="AA88" s="164">
        <f>+F88/2000</f>
        <v>0.14849999999999999</v>
      </c>
      <c r="AB88" s="164">
        <f>+G88/2000</f>
        <v>0.106</v>
      </c>
      <c r="AC88" s="95">
        <v>0.45</v>
      </c>
    </row>
    <row r="89" spans="1:30" x14ac:dyDescent="0.2">
      <c r="A89" s="210" t="s">
        <v>520</v>
      </c>
      <c r="B89" s="59">
        <v>62</v>
      </c>
      <c r="C89" s="116"/>
      <c r="D89" s="6" t="s">
        <v>89</v>
      </c>
      <c r="E89" s="12" t="s">
        <v>14</v>
      </c>
      <c r="F89" s="34">
        <f t="shared" si="56"/>
        <v>187</v>
      </c>
      <c r="G89" s="35">
        <f t="shared" si="57"/>
        <v>124</v>
      </c>
      <c r="H89" s="23">
        <f t="shared" si="53"/>
        <v>120.28</v>
      </c>
      <c r="I89" s="24">
        <f t="shared" si="53"/>
        <v>117.8</v>
      </c>
      <c r="J89" s="25">
        <f t="shared" si="53"/>
        <v>116.55999999999999</v>
      </c>
      <c r="L89" s="76">
        <v>173</v>
      </c>
      <c r="M89" s="99">
        <f t="shared" si="49"/>
        <v>187</v>
      </c>
      <c r="N89" s="76">
        <v>115</v>
      </c>
      <c r="O89" s="99">
        <f t="shared" si="50"/>
        <v>124</v>
      </c>
      <c r="P89" s="88"/>
      <c r="Q89" s="94" t="s">
        <v>288</v>
      </c>
      <c r="R89" s="95">
        <v>68</v>
      </c>
      <c r="S89" s="95"/>
      <c r="T89" s="95"/>
      <c r="U89" s="95">
        <f t="shared" si="47"/>
        <v>68</v>
      </c>
      <c r="V89" s="95">
        <v>0.05</v>
      </c>
      <c r="W89" s="95">
        <f t="shared" si="48"/>
        <v>71.400000000000006</v>
      </c>
      <c r="X89" s="197">
        <f t="shared" si="58"/>
        <v>0.69200000000000006</v>
      </c>
      <c r="Y89" s="95">
        <v>0.5</v>
      </c>
      <c r="Z89" s="201"/>
      <c r="AC89" s="95">
        <v>0.66500000000000004</v>
      </c>
    </row>
    <row r="90" spans="1:30" x14ac:dyDescent="0.2">
      <c r="A90" s="210" t="s">
        <v>518</v>
      </c>
      <c r="B90" s="59">
        <v>63</v>
      </c>
      <c r="C90" s="116"/>
      <c r="D90" s="6" t="s">
        <v>91</v>
      </c>
      <c r="E90" s="12" t="s">
        <v>14</v>
      </c>
      <c r="F90" s="34">
        <f t="shared" si="56"/>
        <v>230</v>
      </c>
      <c r="G90" s="35">
        <f t="shared" si="57"/>
        <v>164</v>
      </c>
      <c r="H90" s="23">
        <f t="shared" si="53"/>
        <v>159.07999999999998</v>
      </c>
      <c r="I90" s="24">
        <f t="shared" si="53"/>
        <v>155.79999999999998</v>
      </c>
      <c r="J90" s="25">
        <f t="shared" si="53"/>
        <v>154.16</v>
      </c>
      <c r="L90" s="76">
        <v>229</v>
      </c>
      <c r="M90" s="99">
        <f t="shared" si="49"/>
        <v>230</v>
      </c>
      <c r="N90" s="76">
        <v>164</v>
      </c>
      <c r="O90" s="99">
        <f t="shared" si="50"/>
        <v>164</v>
      </c>
      <c r="P90" s="88"/>
      <c r="Q90" s="94" t="s">
        <v>316</v>
      </c>
      <c r="R90" s="95">
        <v>31.5</v>
      </c>
      <c r="S90" s="95">
        <v>45</v>
      </c>
      <c r="T90" s="95">
        <f>+S90*0.45</f>
        <v>20.25</v>
      </c>
      <c r="U90" s="95">
        <f t="shared" si="47"/>
        <v>96.75</v>
      </c>
      <c r="V90" s="95">
        <v>0.05</v>
      </c>
      <c r="W90" s="95">
        <f t="shared" si="48"/>
        <v>101.58750000000001</v>
      </c>
      <c r="X90" s="197">
        <f t="shared" si="58"/>
        <v>0.57200000000000006</v>
      </c>
      <c r="Y90" s="95">
        <v>0.4</v>
      </c>
      <c r="Z90" s="201"/>
      <c r="AC90" s="95">
        <v>0.54500000000000004</v>
      </c>
    </row>
    <row r="91" spans="1:30" x14ac:dyDescent="0.2">
      <c r="A91" s="210" t="s">
        <v>517</v>
      </c>
      <c r="B91" s="59">
        <v>64</v>
      </c>
      <c r="C91" s="116"/>
      <c r="D91" s="6" t="s">
        <v>90</v>
      </c>
      <c r="E91" s="12" t="s">
        <v>14</v>
      </c>
      <c r="F91" s="34">
        <f t="shared" si="56"/>
        <v>178</v>
      </c>
      <c r="G91" s="35">
        <f t="shared" si="57"/>
        <v>127</v>
      </c>
      <c r="H91" s="23">
        <f t="shared" si="53"/>
        <v>123.19</v>
      </c>
      <c r="I91" s="24">
        <f t="shared" si="53"/>
        <v>120.64999999999999</v>
      </c>
      <c r="J91" s="25">
        <f t="shared" si="53"/>
        <v>119.38</v>
      </c>
      <c r="L91" s="76">
        <v>177</v>
      </c>
      <c r="M91" s="99">
        <f t="shared" si="49"/>
        <v>178</v>
      </c>
      <c r="N91" s="76">
        <v>127</v>
      </c>
      <c r="O91" s="99">
        <f t="shared" si="50"/>
        <v>127</v>
      </c>
      <c r="P91" s="88"/>
      <c r="Q91" s="94" t="s">
        <v>316</v>
      </c>
      <c r="R91" s="95">
        <v>18.5</v>
      </c>
      <c r="S91" s="95">
        <v>45</v>
      </c>
      <c r="T91" s="95">
        <f>+S91*0.45</f>
        <v>20.25</v>
      </c>
      <c r="U91" s="95">
        <f t="shared" si="47"/>
        <v>83.75</v>
      </c>
      <c r="V91" s="95">
        <v>0.05</v>
      </c>
      <c r="W91" s="95">
        <f t="shared" si="48"/>
        <v>87.9375</v>
      </c>
      <c r="X91" s="197">
        <f t="shared" si="58"/>
        <v>0.40500000000000003</v>
      </c>
      <c r="Y91" s="95">
        <v>0.4</v>
      </c>
      <c r="Z91" s="201"/>
      <c r="AC91" s="95">
        <v>0.378</v>
      </c>
    </row>
    <row r="92" spans="1:30" x14ac:dyDescent="0.2">
      <c r="A92" s="205" t="s">
        <v>509</v>
      </c>
      <c r="B92" s="59">
        <v>65</v>
      </c>
      <c r="C92" s="150"/>
      <c r="D92" s="6" t="s">
        <v>88</v>
      </c>
      <c r="E92" s="12" t="s">
        <v>14</v>
      </c>
      <c r="F92" s="34">
        <f t="shared" si="56"/>
        <v>225</v>
      </c>
      <c r="G92" s="35">
        <f t="shared" si="57"/>
        <v>150</v>
      </c>
      <c r="H92" s="23">
        <f t="shared" si="53"/>
        <v>145.5</v>
      </c>
      <c r="I92" s="24">
        <f t="shared" si="53"/>
        <v>142.5</v>
      </c>
      <c r="J92" s="25">
        <f t="shared" si="53"/>
        <v>141</v>
      </c>
      <c r="L92" s="76">
        <v>214</v>
      </c>
      <c r="M92" s="99">
        <f t="shared" si="49"/>
        <v>225</v>
      </c>
      <c r="N92" s="76">
        <v>142</v>
      </c>
      <c r="O92" s="99">
        <f t="shared" si="50"/>
        <v>150</v>
      </c>
      <c r="P92" s="88"/>
      <c r="Q92" s="94" t="s">
        <v>290</v>
      </c>
      <c r="R92" s="95">
        <v>92.8</v>
      </c>
      <c r="S92" s="95"/>
      <c r="T92" s="95"/>
      <c r="U92" s="95">
        <f t="shared" si="47"/>
        <v>92.8</v>
      </c>
      <c r="V92" s="95">
        <v>0.1</v>
      </c>
      <c r="W92" s="95">
        <f t="shared" si="48"/>
        <v>102.08</v>
      </c>
      <c r="X92" s="197">
        <f t="shared" si="58"/>
        <v>0.42700000000000005</v>
      </c>
      <c r="Y92" s="95">
        <v>0.5</v>
      </c>
      <c r="Z92" s="201"/>
      <c r="AC92" s="95">
        <v>0.4</v>
      </c>
    </row>
    <row r="93" spans="1:30" x14ac:dyDescent="0.2">
      <c r="A93" s="210" t="s">
        <v>515</v>
      </c>
      <c r="B93" s="59">
        <v>66</v>
      </c>
      <c r="C93" s="116"/>
      <c r="D93" s="6" t="s">
        <v>92</v>
      </c>
      <c r="E93" s="12" t="s">
        <v>14</v>
      </c>
      <c r="F93" s="34">
        <f t="shared" si="56"/>
        <v>230</v>
      </c>
      <c r="G93" s="35">
        <f t="shared" si="57"/>
        <v>153</v>
      </c>
      <c r="H93" s="23">
        <f t="shared" si="53"/>
        <v>148.41</v>
      </c>
      <c r="I93" s="24">
        <f t="shared" si="53"/>
        <v>145.35</v>
      </c>
      <c r="J93" s="25">
        <f t="shared" si="53"/>
        <v>143.82</v>
      </c>
      <c r="L93" s="76">
        <v>223</v>
      </c>
      <c r="M93" s="99">
        <f t="shared" si="49"/>
        <v>230</v>
      </c>
      <c r="N93" s="76">
        <v>149</v>
      </c>
      <c r="O93" s="99">
        <f t="shared" si="50"/>
        <v>153</v>
      </c>
      <c r="P93" s="88"/>
      <c r="Q93" s="94" t="s">
        <v>451</v>
      </c>
      <c r="R93" s="95">
        <v>36.299999999999997</v>
      </c>
      <c r="S93" s="95">
        <v>33.5</v>
      </c>
      <c r="T93" s="95">
        <f t="shared" ref="T93:T99" si="59">+S93*0.45</f>
        <v>15.075000000000001</v>
      </c>
      <c r="U93" s="95">
        <f t="shared" si="47"/>
        <v>84.875</v>
      </c>
      <c r="V93" s="95">
        <v>0.05</v>
      </c>
      <c r="W93" s="95">
        <f t="shared" si="48"/>
        <v>89.118750000000006</v>
      </c>
      <c r="X93" s="197">
        <f t="shared" si="58"/>
        <v>0.66700000000000004</v>
      </c>
      <c r="Y93" s="95">
        <v>0.5</v>
      </c>
      <c r="Z93" s="201"/>
      <c r="AC93" s="95">
        <v>0.64</v>
      </c>
    </row>
    <row r="94" spans="1:30" x14ac:dyDescent="0.2">
      <c r="A94" s="210" t="s">
        <v>516</v>
      </c>
      <c r="B94" s="59">
        <v>67</v>
      </c>
      <c r="C94" s="116"/>
      <c r="D94" s="6" t="s">
        <v>93</v>
      </c>
      <c r="E94" s="12" t="s">
        <v>14</v>
      </c>
      <c r="F94" s="34">
        <f>+L94</f>
        <v>271</v>
      </c>
      <c r="G94" s="35">
        <f>+N94</f>
        <v>181</v>
      </c>
      <c r="H94" s="23">
        <f t="shared" si="53"/>
        <v>175.57</v>
      </c>
      <c r="I94" s="24">
        <f t="shared" si="53"/>
        <v>171.95</v>
      </c>
      <c r="J94" s="25">
        <f t="shared" si="53"/>
        <v>170.14</v>
      </c>
      <c r="L94" s="99">
        <v>271</v>
      </c>
      <c r="M94" s="182">
        <f t="shared" si="49"/>
        <v>250</v>
      </c>
      <c r="N94" s="99">
        <v>181</v>
      </c>
      <c r="O94" s="182">
        <f t="shared" si="50"/>
        <v>166</v>
      </c>
      <c r="P94" s="88"/>
      <c r="Q94" s="94" t="s">
        <v>452</v>
      </c>
      <c r="R94" s="95">
        <v>57.35</v>
      </c>
      <c r="S94" s="95">
        <v>33.5</v>
      </c>
      <c r="T94" s="95">
        <f t="shared" si="59"/>
        <v>15.075000000000001</v>
      </c>
      <c r="U94" s="95">
        <f t="shared" si="47"/>
        <v>105.925</v>
      </c>
      <c r="V94" s="95">
        <v>0.05</v>
      </c>
      <c r="W94" s="95">
        <f t="shared" si="48"/>
        <v>111.22125</v>
      </c>
      <c r="X94" s="197">
        <f t="shared" si="58"/>
        <v>0.45200000000000001</v>
      </c>
      <c r="Y94" s="95">
        <v>0.5</v>
      </c>
      <c r="Z94" s="201"/>
      <c r="AC94" s="95">
        <v>0.42499999999999999</v>
      </c>
    </row>
    <row r="95" spans="1:30" x14ac:dyDescent="0.2">
      <c r="A95" s="210" t="s">
        <v>513</v>
      </c>
      <c r="B95" s="59">
        <v>68</v>
      </c>
      <c r="C95" s="116"/>
      <c r="D95" s="6" t="s">
        <v>94</v>
      </c>
      <c r="E95" s="12" t="s">
        <v>14</v>
      </c>
      <c r="F95" s="34">
        <f>+L95</f>
        <v>262</v>
      </c>
      <c r="G95" s="35">
        <f>+N95</f>
        <v>181</v>
      </c>
      <c r="H95" s="23">
        <f t="shared" si="53"/>
        <v>175.57</v>
      </c>
      <c r="I95" s="24">
        <f t="shared" si="53"/>
        <v>171.95</v>
      </c>
      <c r="J95" s="25">
        <f t="shared" si="53"/>
        <v>170.14</v>
      </c>
      <c r="L95" s="99">
        <v>262</v>
      </c>
      <c r="M95" s="182">
        <f t="shared" si="49"/>
        <v>248</v>
      </c>
      <c r="N95" s="99">
        <v>181</v>
      </c>
      <c r="O95" s="182">
        <f t="shared" si="50"/>
        <v>171</v>
      </c>
      <c r="P95" s="88" t="s">
        <v>466</v>
      </c>
      <c r="Q95" s="94" t="s">
        <v>330</v>
      </c>
      <c r="R95" s="95">
        <v>36</v>
      </c>
      <c r="S95" s="95">
        <v>42</v>
      </c>
      <c r="T95" s="95">
        <f t="shared" si="59"/>
        <v>18.900000000000002</v>
      </c>
      <c r="U95" s="95">
        <f t="shared" si="47"/>
        <v>96.9</v>
      </c>
      <c r="V95" s="95">
        <v>0.05</v>
      </c>
      <c r="W95" s="95">
        <f t="shared" si="48"/>
        <v>101.745</v>
      </c>
      <c r="X95" s="197">
        <f t="shared" si="58"/>
        <v>0.63200000000000001</v>
      </c>
      <c r="Y95" s="95">
        <v>0.45</v>
      </c>
      <c r="Z95" s="201"/>
      <c r="AC95" s="95">
        <v>0.60499999999999998</v>
      </c>
    </row>
    <row r="96" spans="1:30" x14ac:dyDescent="0.2">
      <c r="A96" s="210" t="s">
        <v>514</v>
      </c>
      <c r="B96" s="59">
        <v>69</v>
      </c>
      <c r="C96" s="116"/>
      <c r="D96" s="6" t="s">
        <v>228</v>
      </c>
      <c r="E96" s="12" t="s">
        <v>14</v>
      </c>
      <c r="F96" s="34">
        <f>+L96</f>
        <v>262</v>
      </c>
      <c r="G96" s="35">
        <f>+N96</f>
        <v>181</v>
      </c>
      <c r="H96" s="23">
        <f t="shared" si="53"/>
        <v>175.57</v>
      </c>
      <c r="I96" s="24">
        <f t="shared" si="53"/>
        <v>171.95</v>
      </c>
      <c r="J96" s="25">
        <f t="shared" si="53"/>
        <v>170.14</v>
      </c>
      <c r="L96" s="99">
        <v>262</v>
      </c>
      <c r="M96" s="182">
        <f t="shared" si="49"/>
        <v>248</v>
      </c>
      <c r="N96" s="99">
        <v>181</v>
      </c>
      <c r="O96" s="182">
        <f t="shared" si="50"/>
        <v>171</v>
      </c>
      <c r="P96" s="88" t="s">
        <v>466</v>
      </c>
      <c r="Q96" s="94" t="s">
        <v>330</v>
      </c>
      <c r="R96" s="95">
        <v>36</v>
      </c>
      <c r="S96" s="95">
        <v>42</v>
      </c>
      <c r="T96" s="95">
        <f t="shared" si="59"/>
        <v>18.900000000000002</v>
      </c>
      <c r="U96" s="95">
        <f t="shared" si="47"/>
        <v>96.9</v>
      </c>
      <c r="V96" s="95">
        <v>0.05</v>
      </c>
      <c r="W96" s="95">
        <f t="shared" si="48"/>
        <v>101.745</v>
      </c>
      <c r="X96" s="197">
        <f t="shared" si="58"/>
        <v>0.63200000000000001</v>
      </c>
      <c r="Y96" s="95">
        <v>0.45</v>
      </c>
      <c r="Z96" s="201"/>
      <c r="AC96" s="95">
        <v>0.60499999999999998</v>
      </c>
    </row>
    <row r="97" spans="1:29" x14ac:dyDescent="0.2">
      <c r="A97" s="205" t="s">
        <v>508</v>
      </c>
      <c r="B97" s="59">
        <v>70</v>
      </c>
      <c r="C97" s="127"/>
      <c r="D97" s="6" t="s">
        <v>95</v>
      </c>
      <c r="E97" s="12" t="s">
        <v>14</v>
      </c>
      <c r="F97" s="34">
        <f>+M97</f>
        <v>281</v>
      </c>
      <c r="G97" s="35">
        <f>+O97</f>
        <v>190</v>
      </c>
      <c r="H97" s="23">
        <f t="shared" si="53"/>
        <v>184.29999999999998</v>
      </c>
      <c r="I97" s="24">
        <f t="shared" si="53"/>
        <v>180.5</v>
      </c>
      <c r="J97" s="25">
        <f t="shared" si="53"/>
        <v>178.6</v>
      </c>
      <c r="L97" s="76">
        <v>277</v>
      </c>
      <c r="M97" s="99">
        <f t="shared" si="49"/>
        <v>281</v>
      </c>
      <c r="N97" s="76">
        <v>187</v>
      </c>
      <c r="O97" s="99">
        <f t="shared" si="50"/>
        <v>190</v>
      </c>
      <c r="P97" s="88"/>
      <c r="Q97" s="94" t="s">
        <v>453</v>
      </c>
      <c r="R97" s="95">
        <v>30</v>
      </c>
      <c r="S97" s="95">
        <v>71.5</v>
      </c>
      <c r="T97" s="95">
        <f t="shared" si="59"/>
        <v>32.175000000000004</v>
      </c>
      <c r="U97" s="95">
        <f t="shared" si="47"/>
        <v>133.67500000000001</v>
      </c>
      <c r="V97" s="95">
        <v>0.05</v>
      </c>
      <c r="W97" s="95">
        <f t="shared" si="48"/>
        <v>140.35875000000001</v>
      </c>
      <c r="X97" s="197">
        <f t="shared" si="58"/>
        <v>0.312</v>
      </c>
      <c r="Y97" s="95">
        <v>0.48</v>
      </c>
      <c r="Z97" s="201"/>
      <c r="AC97" s="95">
        <v>0.28499999999999998</v>
      </c>
    </row>
    <row r="98" spans="1:29" x14ac:dyDescent="0.2">
      <c r="A98" s="205" t="s">
        <v>506</v>
      </c>
      <c r="B98" s="59">
        <v>71</v>
      </c>
      <c r="C98" s="127"/>
      <c r="D98" s="6" t="s">
        <v>96</v>
      </c>
      <c r="E98" s="12" t="s">
        <v>14</v>
      </c>
      <c r="F98" s="34">
        <f>+L98</f>
        <v>286</v>
      </c>
      <c r="G98" s="35">
        <f>+N98</f>
        <v>191</v>
      </c>
      <c r="H98" s="23">
        <f t="shared" si="53"/>
        <v>185.26999999999998</v>
      </c>
      <c r="I98" s="24">
        <f t="shared" si="53"/>
        <v>181.45</v>
      </c>
      <c r="J98" s="25">
        <f t="shared" si="53"/>
        <v>179.54</v>
      </c>
      <c r="L98" s="99">
        <v>286</v>
      </c>
      <c r="M98" s="182">
        <f t="shared" si="49"/>
        <v>287</v>
      </c>
      <c r="N98" s="99">
        <v>191</v>
      </c>
      <c r="O98" s="182">
        <f t="shared" si="50"/>
        <v>191</v>
      </c>
      <c r="P98" s="88"/>
      <c r="Q98" s="94" t="s">
        <v>453</v>
      </c>
      <c r="R98" s="95">
        <v>31</v>
      </c>
      <c r="S98" s="95">
        <v>71.5</v>
      </c>
      <c r="T98" s="95">
        <f t="shared" si="59"/>
        <v>32.175000000000004</v>
      </c>
      <c r="U98" s="95">
        <f t="shared" si="47"/>
        <v>134.67500000000001</v>
      </c>
      <c r="V98" s="95">
        <v>0.05</v>
      </c>
      <c r="W98" s="95">
        <f t="shared" si="48"/>
        <v>141.40875000000003</v>
      </c>
      <c r="X98" s="197">
        <f t="shared" si="58"/>
        <v>0.312</v>
      </c>
      <c r="Y98" s="95">
        <v>0.5</v>
      </c>
      <c r="Z98" s="201"/>
      <c r="AC98" s="95">
        <v>0.28499999999999998</v>
      </c>
    </row>
    <row r="99" spans="1:29" x14ac:dyDescent="0.2">
      <c r="A99" s="204" t="s">
        <v>507</v>
      </c>
      <c r="B99" s="60">
        <v>72</v>
      </c>
      <c r="C99" s="127"/>
      <c r="D99" s="7" t="s">
        <v>97</v>
      </c>
      <c r="E99" s="13" t="s">
        <v>14</v>
      </c>
      <c r="F99" s="34">
        <f>+L99</f>
        <v>294</v>
      </c>
      <c r="G99" s="35">
        <f>+N99</f>
        <v>196</v>
      </c>
      <c r="H99" s="23">
        <f t="shared" si="53"/>
        <v>190.12</v>
      </c>
      <c r="I99" s="24">
        <f t="shared" si="53"/>
        <v>186.2</v>
      </c>
      <c r="J99" s="25">
        <f t="shared" si="53"/>
        <v>184.23999999999998</v>
      </c>
      <c r="L99" s="99">
        <v>294</v>
      </c>
      <c r="M99" s="182">
        <f t="shared" si="49"/>
        <v>295</v>
      </c>
      <c r="N99" s="99">
        <v>196</v>
      </c>
      <c r="O99" s="182">
        <f t="shared" si="50"/>
        <v>197</v>
      </c>
      <c r="P99" s="88"/>
      <c r="Q99" s="94" t="s">
        <v>453</v>
      </c>
      <c r="R99" s="95">
        <v>34.75</v>
      </c>
      <c r="S99" s="95">
        <v>71.5</v>
      </c>
      <c r="T99" s="95">
        <f t="shared" si="59"/>
        <v>32.175000000000004</v>
      </c>
      <c r="U99" s="95">
        <f t="shared" si="47"/>
        <v>138.42500000000001</v>
      </c>
      <c r="V99" s="95">
        <v>0.05</v>
      </c>
      <c r="W99" s="95">
        <f t="shared" si="48"/>
        <v>145.34625000000003</v>
      </c>
      <c r="X99" s="197">
        <f t="shared" si="58"/>
        <v>0.314</v>
      </c>
      <c r="Y99" s="95">
        <v>0.5</v>
      </c>
      <c r="Z99" s="201"/>
      <c r="AC99" s="95">
        <v>0.28699999999999998</v>
      </c>
    </row>
    <row r="100" spans="1:29" x14ac:dyDescent="0.2">
      <c r="A100" s="14"/>
      <c r="B100" s="20"/>
      <c r="C100" s="20"/>
      <c r="D100" s="2" t="s">
        <v>227</v>
      </c>
      <c r="E100" s="14"/>
      <c r="F100" s="48"/>
      <c r="G100" s="48"/>
      <c r="H100" s="48"/>
      <c r="I100" s="48"/>
      <c r="J100" s="48"/>
      <c r="L100" s="78"/>
      <c r="M100" s="182"/>
      <c r="N100" s="78"/>
      <c r="O100" s="182"/>
      <c r="P100" s="88"/>
      <c r="U100" s="1">
        <f t="shared" si="47"/>
        <v>0</v>
      </c>
      <c r="W100" s="1">
        <f t="shared" si="48"/>
        <v>0</v>
      </c>
    </row>
    <row r="101" spans="1:29" x14ac:dyDescent="0.2">
      <c r="A101" s="207" t="s">
        <v>562</v>
      </c>
      <c r="B101" s="61">
        <v>100</v>
      </c>
      <c r="C101" s="118"/>
      <c r="D101" s="8" t="s">
        <v>98</v>
      </c>
      <c r="E101" s="15" t="s">
        <v>188</v>
      </c>
      <c r="F101" s="34">
        <f>+M101</f>
        <v>38.39</v>
      </c>
      <c r="G101" s="35">
        <f>+O101</f>
        <v>31.99</v>
      </c>
      <c r="H101" s="23">
        <f t="shared" ref="H101:J108" si="60">$G101*(1-H$1)</f>
        <v>31.030299999999997</v>
      </c>
      <c r="I101" s="24">
        <f t="shared" si="60"/>
        <v>30.390499999999996</v>
      </c>
      <c r="J101" s="25">
        <f t="shared" si="60"/>
        <v>30.070599999999995</v>
      </c>
      <c r="L101" s="79">
        <v>36.78</v>
      </c>
      <c r="M101" s="99">
        <v>38.39</v>
      </c>
      <c r="N101" s="79">
        <v>30.65</v>
      </c>
      <c r="O101" s="99">
        <v>31.99</v>
      </c>
      <c r="P101" s="88"/>
      <c r="Q101" s="94" t="s">
        <v>336</v>
      </c>
      <c r="R101" s="95"/>
      <c r="S101" s="95"/>
      <c r="T101" s="95"/>
      <c r="U101" s="95">
        <f t="shared" ref="U101:U107" si="61">SUM(R101:T101)</f>
        <v>0</v>
      </c>
      <c r="V101" s="95"/>
      <c r="W101" s="95">
        <f t="shared" si="48"/>
        <v>0</v>
      </c>
      <c r="X101" s="95"/>
      <c r="Y101" s="95"/>
    </row>
    <row r="102" spans="1:29" x14ac:dyDescent="0.2">
      <c r="A102" s="210" t="s">
        <v>563</v>
      </c>
      <c r="B102" s="59">
        <v>101</v>
      </c>
      <c r="C102" s="116"/>
      <c r="D102" s="6" t="s">
        <v>99</v>
      </c>
      <c r="E102" s="12" t="s">
        <v>188</v>
      </c>
      <c r="F102" s="34">
        <f t="shared" ref="F102:F108" si="62">+M102</f>
        <v>37.49</v>
      </c>
      <c r="G102" s="35">
        <f t="shared" ref="G102:G108" si="63">+O102</f>
        <v>31.25</v>
      </c>
      <c r="H102" s="23">
        <f t="shared" si="60"/>
        <v>30.3125</v>
      </c>
      <c r="I102" s="24">
        <f t="shared" si="60"/>
        <v>29.6875</v>
      </c>
      <c r="J102" s="25">
        <f t="shared" si="60"/>
        <v>29.375</v>
      </c>
      <c r="L102" s="76">
        <v>35.92</v>
      </c>
      <c r="M102" s="99">
        <v>37.49</v>
      </c>
      <c r="N102" s="76">
        <v>29.93</v>
      </c>
      <c r="O102" s="99">
        <v>31.25</v>
      </c>
      <c r="P102" s="88"/>
      <c r="Q102" s="94" t="s">
        <v>336</v>
      </c>
      <c r="R102" s="95"/>
      <c r="S102" s="95"/>
      <c r="T102" s="95"/>
      <c r="U102" s="95">
        <f t="shared" si="61"/>
        <v>0</v>
      </c>
      <c r="V102" s="95"/>
      <c r="W102" s="95">
        <f t="shared" si="48"/>
        <v>0</v>
      </c>
      <c r="X102" s="95"/>
      <c r="Y102" s="95"/>
    </row>
    <row r="103" spans="1:29" x14ac:dyDescent="0.2">
      <c r="A103" s="12" t="s">
        <v>779</v>
      </c>
      <c r="B103" s="60">
        <v>102</v>
      </c>
      <c r="C103" s="118"/>
      <c r="D103" s="7" t="s">
        <v>780</v>
      </c>
      <c r="E103" s="13" t="s">
        <v>188</v>
      </c>
      <c r="F103" s="34">
        <f t="shared" si="62"/>
        <v>42.63</v>
      </c>
      <c r="G103" s="35">
        <f t="shared" si="63"/>
        <v>35.520000000000003</v>
      </c>
      <c r="H103" s="23">
        <f>$G103*(1-H$1)</f>
        <v>34.4544</v>
      </c>
      <c r="I103" s="24">
        <f>$G103*(1-I$1)</f>
        <v>33.744</v>
      </c>
      <c r="J103" s="25">
        <f>$G103*(1-J$1)</f>
        <v>33.388800000000003</v>
      </c>
      <c r="L103" s="77"/>
      <c r="M103" s="99">
        <v>42.63</v>
      </c>
      <c r="N103" s="77"/>
      <c r="O103" s="99">
        <v>35.520000000000003</v>
      </c>
      <c r="P103" s="88"/>
      <c r="Q103" s="94" t="s">
        <v>336</v>
      </c>
      <c r="R103" s="95"/>
      <c r="S103" s="95"/>
      <c r="T103" s="95"/>
      <c r="U103" s="95">
        <f t="shared" si="61"/>
        <v>0</v>
      </c>
      <c r="V103" s="95"/>
      <c r="W103" s="95">
        <f t="shared" si="48"/>
        <v>0</v>
      </c>
      <c r="X103" s="95"/>
      <c r="Y103" s="95"/>
    </row>
    <row r="104" spans="1:29" x14ac:dyDescent="0.2">
      <c r="A104" s="210" t="s">
        <v>564</v>
      </c>
      <c r="B104" s="59">
        <v>103</v>
      </c>
      <c r="C104" s="116"/>
      <c r="D104" s="6" t="s">
        <v>102</v>
      </c>
      <c r="E104" s="12" t="s">
        <v>188</v>
      </c>
      <c r="F104" s="34">
        <f t="shared" si="62"/>
        <v>175.62</v>
      </c>
      <c r="G104" s="35">
        <f t="shared" si="63"/>
        <v>146.35</v>
      </c>
      <c r="H104" s="23">
        <f t="shared" si="60"/>
        <v>141.95949999999999</v>
      </c>
      <c r="I104" s="24">
        <f t="shared" si="60"/>
        <v>139.0325</v>
      </c>
      <c r="J104" s="25">
        <f t="shared" si="60"/>
        <v>137.56899999999999</v>
      </c>
      <c r="L104" s="76">
        <v>168.22</v>
      </c>
      <c r="M104" s="99">
        <v>175.62</v>
      </c>
      <c r="N104" s="76">
        <v>140.18</v>
      </c>
      <c r="O104" s="99">
        <v>146.35</v>
      </c>
      <c r="P104" s="88"/>
      <c r="Q104" s="94" t="s">
        <v>336</v>
      </c>
      <c r="R104" s="95"/>
      <c r="S104" s="95"/>
      <c r="T104" s="95"/>
      <c r="U104" s="95">
        <f t="shared" si="61"/>
        <v>0</v>
      </c>
      <c r="V104" s="95"/>
      <c r="W104" s="95">
        <f t="shared" si="48"/>
        <v>0</v>
      </c>
      <c r="X104" s="95"/>
      <c r="Y104" s="95"/>
    </row>
    <row r="105" spans="1:29" x14ac:dyDescent="0.2">
      <c r="A105" s="210" t="s">
        <v>565</v>
      </c>
      <c r="B105" s="59">
        <v>104</v>
      </c>
      <c r="C105" s="116"/>
      <c r="D105" s="6" t="s">
        <v>101</v>
      </c>
      <c r="E105" s="12" t="s">
        <v>188</v>
      </c>
      <c r="F105" s="34">
        <f t="shared" si="62"/>
        <v>266.86</v>
      </c>
      <c r="G105" s="35">
        <f t="shared" si="63"/>
        <v>222.38</v>
      </c>
      <c r="H105" s="23">
        <f t="shared" si="60"/>
        <v>215.70859999999999</v>
      </c>
      <c r="I105" s="24">
        <f t="shared" si="60"/>
        <v>211.261</v>
      </c>
      <c r="J105" s="25">
        <f t="shared" si="60"/>
        <v>209.03719999999998</v>
      </c>
      <c r="L105" s="76">
        <v>257.99</v>
      </c>
      <c r="M105" s="99">
        <v>266.86</v>
      </c>
      <c r="N105" s="76">
        <v>214.99</v>
      </c>
      <c r="O105" s="99">
        <v>222.38</v>
      </c>
      <c r="P105" s="88"/>
      <c r="Q105" s="94" t="s">
        <v>336</v>
      </c>
      <c r="R105" s="95"/>
      <c r="S105" s="95"/>
      <c r="T105" s="95"/>
      <c r="U105" s="95">
        <f t="shared" si="61"/>
        <v>0</v>
      </c>
      <c r="V105" s="95"/>
      <c r="W105" s="95">
        <f t="shared" si="48"/>
        <v>0</v>
      </c>
      <c r="X105" s="95"/>
      <c r="Y105" s="95"/>
    </row>
    <row r="106" spans="1:29" x14ac:dyDescent="0.2">
      <c r="A106" s="210" t="s">
        <v>559</v>
      </c>
      <c r="B106" s="59">
        <v>105</v>
      </c>
      <c r="C106" s="122"/>
      <c r="D106" s="6" t="s">
        <v>104</v>
      </c>
      <c r="E106" s="12" t="s">
        <v>188</v>
      </c>
      <c r="F106" s="34">
        <f t="shared" si="62"/>
        <v>5.88</v>
      </c>
      <c r="G106" s="35">
        <f t="shared" si="63"/>
        <v>4.9000000000000004</v>
      </c>
      <c r="H106" s="23">
        <f t="shared" si="60"/>
        <v>4.7530000000000001</v>
      </c>
      <c r="I106" s="24">
        <f t="shared" si="60"/>
        <v>4.6550000000000002</v>
      </c>
      <c r="J106" s="25">
        <f t="shared" si="60"/>
        <v>4.6059999999999999</v>
      </c>
      <c r="L106" s="76">
        <v>5.85</v>
      </c>
      <c r="M106" s="99">
        <v>5.88</v>
      </c>
      <c r="N106" s="76">
        <v>4.88</v>
      </c>
      <c r="O106" s="99">
        <v>4.9000000000000004</v>
      </c>
      <c r="P106" s="88"/>
      <c r="Q106" s="94" t="s">
        <v>348</v>
      </c>
      <c r="R106" s="95"/>
      <c r="S106" s="95"/>
      <c r="T106" s="95"/>
      <c r="U106" s="95">
        <f t="shared" si="61"/>
        <v>0</v>
      </c>
      <c r="V106" s="95"/>
      <c r="W106" s="95">
        <f t="shared" si="48"/>
        <v>0</v>
      </c>
      <c r="X106" s="95"/>
      <c r="Y106" s="95"/>
    </row>
    <row r="107" spans="1:29" x14ac:dyDescent="0.2">
      <c r="A107" s="207" t="s">
        <v>560</v>
      </c>
      <c r="B107" s="59">
        <v>106</v>
      </c>
      <c r="C107" s="130"/>
      <c r="D107" s="6" t="s">
        <v>105</v>
      </c>
      <c r="E107" s="12" t="s">
        <v>188</v>
      </c>
      <c r="F107" s="34">
        <f t="shared" si="62"/>
        <v>5.98</v>
      </c>
      <c r="G107" s="35">
        <f t="shared" si="63"/>
        <v>4.9800000000000004</v>
      </c>
      <c r="H107" s="23">
        <f t="shared" si="60"/>
        <v>4.8306000000000004</v>
      </c>
      <c r="I107" s="24">
        <f t="shared" si="60"/>
        <v>4.7309999999999999</v>
      </c>
      <c r="J107" s="25">
        <f t="shared" si="60"/>
        <v>4.6812000000000005</v>
      </c>
      <c r="L107" s="76">
        <v>5.85</v>
      </c>
      <c r="M107" s="99">
        <v>5.98</v>
      </c>
      <c r="N107" s="76">
        <v>4.88</v>
      </c>
      <c r="O107" s="99">
        <v>4.9800000000000004</v>
      </c>
      <c r="P107" s="88"/>
      <c r="Q107" s="94" t="s">
        <v>348</v>
      </c>
      <c r="R107" s="95"/>
      <c r="S107" s="95"/>
      <c r="T107" s="95"/>
      <c r="U107" s="95">
        <f t="shared" si="61"/>
        <v>0</v>
      </c>
      <c r="V107" s="95"/>
      <c r="W107" s="95">
        <f t="shared" si="48"/>
        <v>0</v>
      </c>
      <c r="X107" s="95"/>
      <c r="Y107" s="95"/>
    </row>
    <row r="108" spans="1:29" x14ac:dyDescent="0.2">
      <c r="A108" s="12" t="s">
        <v>561</v>
      </c>
      <c r="B108" s="60">
        <v>107</v>
      </c>
      <c r="C108" s="118"/>
      <c r="D108" s="7" t="s">
        <v>761</v>
      </c>
      <c r="E108" s="13" t="s">
        <v>188</v>
      </c>
      <c r="F108" s="34">
        <f t="shared" si="62"/>
        <v>2.29</v>
      </c>
      <c r="G108" s="35">
        <f t="shared" si="63"/>
        <v>1.91</v>
      </c>
      <c r="H108" s="23">
        <f t="shared" si="60"/>
        <v>1.8526999999999998</v>
      </c>
      <c r="I108" s="24">
        <f t="shared" si="60"/>
        <v>1.8144999999999998</v>
      </c>
      <c r="J108" s="25">
        <f t="shared" si="60"/>
        <v>1.7953999999999999</v>
      </c>
      <c r="L108" s="77">
        <v>2.2599999999999998</v>
      </c>
      <c r="M108" s="99">
        <v>2.29</v>
      </c>
      <c r="N108" s="77">
        <v>1.88</v>
      </c>
      <c r="O108" s="99">
        <v>1.91</v>
      </c>
      <c r="P108" s="88"/>
      <c r="Q108" s="94" t="s">
        <v>336</v>
      </c>
      <c r="R108" s="95"/>
      <c r="S108" s="95"/>
      <c r="T108" s="95"/>
      <c r="U108" s="95">
        <f t="shared" ref="U108" si="64">SUM(R108:T108)</f>
        <v>0</v>
      </c>
      <c r="V108" s="95"/>
      <c r="W108" s="95">
        <f t="shared" si="48"/>
        <v>0</v>
      </c>
      <c r="X108" s="95"/>
      <c r="Y108" s="95"/>
    </row>
    <row r="109" spans="1:29" x14ac:dyDescent="0.2">
      <c r="A109" s="12" t="s">
        <v>675</v>
      </c>
      <c r="B109" s="60">
        <v>108</v>
      </c>
      <c r="C109" s="118"/>
      <c r="D109" s="7" t="s">
        <v>774</v>
      </c>
      <c r="E109" s="13" t="s">
        <v>188</v>
      </c>
      <c r="F109" s="34">
        <f>+M109</f>
        <v>6.69</v>
      </c>
      <c r="G109" s="35">
        <f>+O109</f>
        <v>5.57</v>
      </c>
      <c r="H109" s="23">
        <f>$G109*(1-H$1)</f>
        <v>5.4028999999999998</v>
      </c>
      <c r="I109" s="24">
        <f>$G109*(1-I$1)</f>
        <v>5.2915000000000001</v>
      </c>
      <c r="J109" s="25">
        <f>$G109*(1-J$1)</f>
        <v>5.2358000000000002</v>
      </c>
      <c r="L109" s="77"/>
      <c r="M109" s="99">
        <v>6.69</v>
      </c>
      <c r="N109" s="77"/>
      <c r="O109" s="99">
        <v>5.57</v>
      </c>
      <c r="P109" s="88"/>
      <c r="Q109" s="94" t="s">
        <v>336</v>
      </c>
      <c r="R109" s="95"/>
      <c r="S109" s="95"/>
      <c r="T109" s="95"/>
      <c r="U109" s="95">
        <f>SUM(R109:T109)</f>
        <v>0</v>
      </c>
      <c r="V109" s="95"/>
      <c r="W109" s="95">
        <f>+U109*(1+V109)</f>
        <v>0</v>
      </c>
      <c r="X109" s="95"/>
      <c r="Y109" s="95"/>
    </row>
    <row r="110" spans="1:29" x14ac:dyDescent="0.2">
      <c r="A110" s="14"/>
      <c r="B110" s="20"/>
      <c r="C110" s="20"/>
      <c r="D110" s="2" t="s">
        <v>106</v>
      </c>
      <c r="E110" s="14"/>
      <c r="F110" s="48"/>
      <c r="G110" s="48"/>
      <c r="H110" s="48"/>
      <c r="I110" s="48"/>
      <c r="J110" s="48"/>
      <c r="L110" s="78"/>
      <c r="M110" s="182"/>
      <c r="N110" s="78"/>
      <c r="O110" s="182"/>
      <c r="P110" s="88"/>
      <c r="U110" s="1">
        <f t="shared" si="47"/>
        <v>0</v>
      </c>
      <c r="W110" s="1">
        <f t="shared" si="48"/>
        <v>0</v>
      </c>
    </row>
    <row r="111" spans="1:29" ht="15" customHeight="1" x14ac:dyDescent="0.2">
      <c r="A111" s="1"/>
      <c r="B111" s="277" t="s">
        <v>224</v>
      </c>
      <c r="C111" s="278"/>
      <c r="D111" s="278"/>
      <c r="E111" s="278"/>
      <c r="F111" s="278"/>
      <c r="G111" s="278"/>
      <c r="H111" s="278"/>
      <c r="I111" s="278"/>
      <c r="J111" s="279"/>
      <c r="L111" s="73"/>
      <c r="M111" s="182"/>
      <c r="N111" s="73"/>
      <c r="O111" s="182"/>
      <c r="P111" s="88"/>
      <c r="U111" s="1">
        <f t="shared" si="47"/>
        <v>0</v>
      </c>
      <c r="W111" s="1">
        <f t="shared" si="48"/>
        <v>0</v>
      </c>
    </row>
    <row r="112" spans="1:29" x14ac:dyDescent="0.2">
      <c r="A112" s="12" t="s">
        <v>665</v>
      </c>
      <c r="C112" s="245"/>
      <c r="D112" s="6" t="s">
        <v>215</v>
      </c>
      <c r="E112" s="12" t="s">
        <v>216</v>
      </c>
      <c r="F112" s="34">
        <f>+L112</f>
        <v>8.75</v>
      </c>
      <c r="G112" s="35">
        <f>+N112</f>
        <v>7.5</v>
      </c>
      <c r="H112" s="23">
        <f t="shared" ref="H112:J119" si="65">$G112*(1-H$1)</f>
        <v>7.2749999999999995</v>
      </c>
      <c r="I112" s="24">
        <f t="shared" si="65"/>
        <v>7.125</v>
      </c>
      <c r="J112" s="25">
        <f t="shared" si="65"/>
        <v>7.05</v>
      </c>
      <c r="L112" s="99">
        <v>8.75</v>
      </c>
      <c r="M112" s="182">
        <f t="shared" si="49"/>
        <v>1</v>
      </c>
      <c r="N112" s="99">
        <v>7.5</v>
      </c>
      <c r="O112" s="182">
        <f t="shared" si="50"/>
        <v>0</v>
      </c>
      <c r="P112" s="88"/>
      <c r="Q112" s="244" t="s">
        <v>277</v>
      </c>
      <c r="R112" s="199"/>
      <c r="S112" s="95">
        <f>1400/26/150</f>
        <v>0.35897435897435898</v>
      </c>
      <c r="T112" s="95"/>
      <c r="U112" s="95">
        <f t="shared" si="47"/>
        <v>0.35897435897435898</v>
      </c>
      <c r="V112" s="95"/>
      <c r="W112" s="95">
        <f t="shared" si="48"/>
        <v>0.35897435897435898</v>
      </c>
      <c r="X112" s="95">
        <v>0.35</v>
      </c>
      <c r="Y112" s="95">
        <v>0.2</v>
      </c>
    </row>
    <row r="113" spans="1:30" x14ac:dyDescent="0.2">
      <c r="A113" s="12" t="s">
        <v>662</v>
      </c>
      <c r="C113" s="245"/>
      <c r="D113" s="6" t="s">
        <v>217</v>
      </c>
      <c r="E113" s="12" t="s">
        <v>223</v>
      </c>
      <c r="F113" s="34">
        <f t="shared" ref="F113:F119" si="66">+L113</f>
        <v>13.25</v>
      </c>
      <c r="G113" s="35">
        <f t="shared" ref="G113:G119" si="67">+N113</f>
        <v>11.25</v>
      </c>
      <c r="H113" s="23">
        <f t="shared" si="65"/>
        <v>10.9125</v>
      </c>
      <c r="I113" s="24">
        <f t="shared" si="65"/>
        <v>10.6875</v>
      </c>
      <c r="J113" s="25">
        <f t="shared" si="65"/>
        <v>10.574999999999999</v>
      </c>
      <c r="L113" s="99">
        <v>13.25</v>
      </c>
      <c r="M113" s="182">
        <f t="shared" si="49"/>
        <v>1</v>
      </c>
      <c r="N113" s="99">
        <v>11.25</v>
      </c>
      <c r="O113" s="182">
        <f t="shared" si="50"/>
        <v>1</v>
      </c>
      <c r="P113" s="88"/>
      <c r="Q113" s="244" t="s">
        <v>277</v>
      </c>
      <c r="R113" s="199"/>
      <c r="S113" s="95">
        <f>1400/26/100</f>
        <v>0.53846153846153844</v>
      </c>
      <c r="T113" s="95"/>
      <c r="U113" s="95">
        <f t="shared" si="47"/>
        <v>0.53846153846153844</v>
      </c>
      <c r="V113" s="95"/>
      <c r="W113" s="95">
        <f t="shared" si="48"/>
        <v>0.53846153846153844</v>
      </c>
      <c r="X113" s="95">
        <v>0.35</v>
      </c>
      <c r="Y113" s="95">
        <v>0.2</v>
      </c>
    </row>
    <row r="114" spans="1:30" x14ac:dyDescent="0.2">
      <c r="A114" s="12" t="s">
        <v>666</v>
      </c>
      <c r="C114" s="245"/>
      <c r="D114" s="6" t="s">
        <v>218</v>
      </c>
      <c r="E114" s="12" t="s">
        <v>216</v>
      </c>
      <c r="F114" s="34">
        <f t="shared" si="66"/>
        <v>9</v>
      </c>
      <c r="G114" s="35">
        <f t="shared" si="67"/>
        <v>7.75</v>
      </c>
      <c r="H114" s="23">
        <f t="shared" si="65"/>
        <v>7.5175000000000001</v>
      </c>
      <c r="I114" s="24">
        <f t="shared" si="65"/>
        <v>7.3624999999999998</v>
      </c>
      <c r="J114" s="25">
        <f t="shared" si="65"/>
        <v>7.2849999999999993</v>
      </c>
      <c r="L114" s="99">
        <v>9</v>
      </c>
      <c r="M114" s="182">
        <f t="shared" si="49"/>
        <v>1</v>
      </c>
      <c r="N114" s="99">
        <v>7.75</v>
      </c>
      <c r="O114" s="182">
        <f t="shared" si="50"/>
        <v>0</v>
      </c>
      <c r="P114" s="88"/>
      <c r="Q114" s="244" t="s">
        <v>277</v>
      </c>
      <c r="R114" s="199"/>
      <c r="S114" s="95">
        <f>1400/26/150</f>
        <v>0.35897435897435898</v>
      </c>
      <c r="T114" s="95"/>
      <c r="U114" s="95">
        <f t="shared" si="47"/>
        <v>0.35897435897435898</v>
      </c>
      <c r="V114" s="95"/>
      <c r="W114" s="95">
        <f t="shared" si="48"/>
        <v>0.35897435897435898</v>
      </c>
      <c r="X114" s="95">
        <v>0.35</v>
      </c>
      <c r="Y114" s="95">
        <v>0.2</v>
      </c>
    </row>
    <row r="115" spans="1:30" x14ac:dyDescent="0.2">
      <c r="A115" s="12" t="s">
        <v>663</v>
      </c>
      <c r="C115" s="245"/>
      <c r="D115" s="6" t="s">
        <v>219</v>
      </c>
      <c r="E115" s="12" t="s">
        <v>223</v>
      </c>
      <c r="F115" s="34">
        <f t="shared" si="66"/>
        <v>13.75</v>
      </c>
      <c r="G115" s="35">
        <f t="shared" si="67"/>
        <v>11.75</v>
      </c>
      <c r="H115" s="23">
        <f t="shared" si="65"/>
        <v>11.397499999999999</v>
      </c>
      <c r="I115" s="24">
        <f t="shared" si="65"/>
        <v>11.1625</v>
      </c>
      <c r="J115" s="25">
        <f t="shared" si="65"/>
        <v>11.045</v>
      </c>
      <c r="L115" s="99">
        <v>13.75</v>
      </c>
      <c r="M115" s="182">
        <f t="shared" si="49"/>
        <v>1</v>
      </c>
      <c r="N115" s="99">
        <v>11.75</v>
      </c>
      <c r="O115" s="182">
        <f t="shared" si="50"/>
        <v>1</v>
      </c>
      <c r="P115" s="88"/>
      <c r="Q115" s="244" t="s">
        <v>277</v>
      </c>
      <c r="R115" s="199"/>
      <c r="S115" s="95">
        <f>1400/26/100</f>
        <v>0.53846153846153844</v>
      </c>
      <c r="T115" s="95"/>
      <c r="U115" s="95">
        <f t="shared" si="47"/>
        <v>0.53846153846153844</v>
      </c>
      <c r="V115" s="95"/>
      <c r="W115" s="95">
        <f t="shared" si="48"/>
        <v>0.53846153846153844</v>
      </c>
      <c r="X115" s="95">
        <v>0.35</v>
      </c>
      <c r="Y115" s="95">
        <v>0.2</v>
      </c>
    </row>
    <row r="116" spans="1:30" x14ac:dyDescent="0.2">
      <c r="A116" s="12" t="s">
        <v>667</v>
      </c>
      <c r="C116" s="245"/>
      <c r="D116" s="6" t="s">
        <v>220</v>
      </c>
      <c r="E116" s="12" t="s">
        <v>216</v>
      </c>
      <c r="F116" s="34">
        <f t="shared" si="66"/>
        <v>8.5</v>
      </c>
      <c r="G116" s="35">
        <f t="shared" si="67"/>
        <v>7.25</v>
      </c>
      <c r="H116" s="23">
        <f t="shared" si="65"/>
        <v>7.0324999999999998</v>
      </c>
      <c r="I116" s="24">
        <f t="shared" si="65"/>
        <v>6.8874999999999993</v>
      </c>
      <c r="J116" s="25">
        <f t="shared" si="65"/>
        <v>6.8149999999999995</v>
      </c>
      <c r="L116" s="99">
        <v>8.5</v>
      </c>
      <c r="M116" s="182">
        <f t="shared" si="49"/>
        <v>1</v>
      </c>
      <c r="N116" s="99">
        <v>7.25</v>
      </c>
      <c r="O116" s="182">
        <f t="shared" si="50"/>
        <v>0</v>
      </c>
      <c r="P116" s="88"/>
      <c r="Q116" s="244" t="s">
        <v>277</v>
      </c>
      <c r="R116" s="199"/>
      <c r="S116" s="95">
        <f>1400/26/150</f>
        <v>0.35897435897435898</v>
      </c>
      <c r="T116" s="95"/>
      <c r="U116" s="95">
        <f t="shared" si="47"/>
        <v>0.35897435897435898</v>
      </c>
      <c r="V116" s="95"/>
      <c r="W116" s="95">
        <f t="shared" si="48"/>
        <v>0.35897435897435898</v>
      </c>
      <c r="X116" s="95">
        <v>0.35</v>
      </c>
      <c r="Y116" s="95">
        <v>0.2</v>
      </c>
    </row>
    <row r="117" spans="1:30" x14ac:dyDescent="0.2">
      <c r="A117" s="12" t="s">
        <v>664</v>
      </c>
      <c r="C117" s="245"/>
      <c r="D117" s="6" t="s">
        <v>221</v>
      </c>
      <c r="E117" s="12" t="s">
        <v>223</v>
      </c>
      <c r="F117" s="34">
        <f t="shared" si="66"/>
        <v>13</v>
      </c>
      <c r="G117" s="35">
        <f t="shared" si="67"/>
        <v>11</v>
      </c>
      <c r="H117" s="23">
        <f t="shared" si="65"/>
        <v>10.67</v>
      </c>
      <c r="I117" s="24">
        <f t="shared" si="65"/>
        <v>10.45</v>
      </c>
      <c r="J117" s="25">
        <f t="shared" si="65"/>
        <v>10.34</v>
      </c>
      <c r="L117" s="99">
        <v>13</v>
      </c>
      <c r="M117" s="182">
        <f t="shared" si="49"/>
        <v>1</v>
      </c>
      <c r="N117" s="99">
        <v>11</v>
      </c>
      <c r="O117" s="182">
        <f t="shared" si="50"/>
        <v>1</v>
      </c>
      <c r="P117" s="88"/>
      <c r="Q117" s="244" t="s">
        <v>277</v>
      </c>
      <c r="R117" s="199"/>
      <c r="S117" s="95">
        <f>1400/26/100</f>
        <v>0.53846153846153844</v>
      </c>
      <c r="T117" s="95"/>
      <c r="U117" s="95">
        <f t="shared" si="47"/>
        <v>0.53846153846153844</v>
      </c>
      <c r="V117" s="95"/>
      <c r="W117" s="95">
        <f t="shared" si="48"/>
        <v>0.53846153846153844</v>
      </c>
      <c r="X117" s="95">
        <v>0.35</v>
      </c>
      <c r="Y117" s="95">
        <v>0.2</v>
      </c>
    </row>
    <row r="118" spans="1:30" x14ac:dyDescent="0.2">
      <c r="A118" s="57" t="s">
        <v>668</v>
      </c>
      <c r="C118" s="245"/>
      <c r="D118" s="6" t="s">
        <v>213</v>
      </c>
      <c r="E118" s="12" t="s">
        <v>222</v>
      </c>
      <c r="F118" s="34">
        <f t="shared" si="66"/>
        <v>196</v>
      </c>
      <c r="G118" s="35">
        <f t="shared" si="67"/>
        <v>140</v>
      </c>
      <c r="H118" s="23">
        <f t="shared" si="65"/>
        <v>135.79999999999998</v>
      </c>
      <c r="I118" s="24">
        <f t="shared" si="65"/>
        <v>133</v>
      </c>
      <c r="J118" s="25">
        <f t="shared" si="65"/>
        <v>131.6</v>
      </c>
      <c r="L118" s="99">
        <v>196</v>
      </c>
      <c r="M118" s="182">
        <f t="shared" si="49"/>
        <v>192</v>
      </c>
      <c r="N118" s="99">
        <v>140</v>
      </c>
      <c r="O118" s="182">
        <f t="shared" si="50"/>
        <v>160</v>
      </c>
      <c r="P118" s="88"/>
      <c r="Q118" s="244" t="s">
        <v>277</v>
      </c>
      <c r="R118" s="199">
        <v>109</v>
      </c>
      <c r="S118" s="95">
        <f>1400/24/10</f>
        <v>5.8333333333333339</v>
      </c>
      <c r="T118" s="95"/>
      <c r="U118" s="95">
        <f t="shared" si="47"/>
        <v>114.83333333333333</v>
      </c>
      <c r="V118" s="95"/>
      <c r="W118" s="95">
        <f t="shared" si="48"/>
        <v>114.83333333333333</v>
      </c>
      <c r="X118" s="95">
        <v>0.35</v>
      </c>
      <c r="Y118" s="95">
        <v>0.2</v>
      </c>
    </row>
    <row r="119" spans="1:30" x14ac:dyDescent="0.2">
      <c r="A119" s="57" t="s">
        <v>669</v>
      </c>
      <c r="C119" s="245"/>
      <c r="D119" s="6" t="s">
        <v>214</v>
      </c>
      <c r="E119" s="12" t="s">
        <v>222</v>
      </c>
      <c r="F119" s="34">
        <f t="shared" si="66"/>
        <v>14</v>
      </c>
      <c r="G119" s="35">
        <f t="shared" si="67"/>
        <v>10</v>
      </c>
      <c r="H119" s="23">
        <f t="shared" si="65"/>
        <v>9.6999999999999993</v>
      </c>
      <c r="I119" s="24">
        <f t="shared" si="65"/>
        <v>9.5</v>
      </c>
      <c r="J119" s="25">
        <f t="shared" si="65"/>
        <v>9.3999999999999986</v>
      </c>
      <c r="L119" s="99">
        <v>14</v>
      </c>
      <c r="M119" s="182">
        <f t="shared" si="49"/>
        <v>11</v>
      </c>
      <c r="N119" s="99">
        <v>10</v>
      </c>
      <c r="O119" s="182">
        <f t="shared" si="50"/>
        <v>9</v>
      </c>
      <c r="P119" s="88"/>
      <c r="Q119" s="244" t="s">
        <v>277</v>
      </c>
      <c r="R119" s="199">
        <v>5.75</v>
      </c>
      <c r="S119" s="95">
        <f>1400/26/50</f>
        <v>1.0769230769230769</v>
      </c>
      <c r="T119" s="95"/>
      <c r="U119" s="95">
        <f t="shared" si="47"/>
        <v>6.8269230769230766</v>
      </c>
      <c r="V119" s="95"/>
      <c r="W119" s="95">
        <f t="shared" si="48"/>
        <v>6.8269230769230766</v>
      </c>
      <c r="X119" s="95">
        <v>0.35</v>
      </c>
      <c r="Y119" s="95">
        <v>0.2</v>
      </c>
    </row>
    <row r="120" spans="1:30" ht="15" customHeight="1" x14ac:dyDescent="0.2">
      <c r="A120" s="215"/>
      <c r="B120" s="277" t="s">
        <v>225</v>
      </c>
      <c r="C120" s="278"/>
      <c r="D120" s="278"/>
      <c r="E120" s="278"/>
      <c r="F120" s="278"/>
      <c r="G120" s="278"/>
      <c r="H120" s="278"/>
      <c r="I120" s="278"/>
      <c r="J120" s="279"/>
      <c r="L120" s="73"/>
      <c r="M120" s="182"/>
      <c r="N120" s="73"/>
      <c r="O120" s="182"/>
      <c r="P120" s="88"/>
      <c r="U120" s="1">
        <f t="shared" si="47"/>
        <v>0</v>
      </c>
      <c r="W120" s="1">
        <f t="shared" si="48"/>
        <v>0</v>
      </c>
    </row>
    <row r="121" spans="1:30" x14ac:dyDescent="0.2">
      <c r="A121" s="211"/>
      <c r="C121" s="117"/>
      <c r="D121" s="7" t="s">
        <v>190</v>
      </c>
      <c r="E121" s="17"/>
      <c r="F121" s="43"/>
      <c r="G121" s="44"/>
      <c r="H121" s="40"/>
      <c r="I121" s="41"/>
      <c r="J121" s="42"/>
      <c r="L121" s="82"/>
      <c r="M121" s="182"/>
      <c r="N121" s="82"/>
      <c r="O121" s="182"/>
      <c r="P121" s="88"/>
      <c r="Q121" s="94"/>
      <c r="R121" s="95"/>
      <c r="S121" s="95"/>
      <c r="T121" s="95"/>
      <c r="U121" s="95">
        <f t="shared" si="47"/>
        <v>0</v>
      </c>
      <c r="V121" s="95"/>
      <c r="W121" s="95">
        <f t="shared" si="48"/>
        <v>0</v>
      </c>
      <c r="X121" s="95"/>
      <c r="Y121" s="95"/>
    </row>
    <row r="122" spans="1:30" x14ac:dyDescent="0.2">
      <c r="A122" s="211"/>
      <c r="B122" s="60"/>
      <c r="C122" s="117"/>
      <c r="D122" s="7" t="s">
        <v>191</v>
      </c>
      <c r="E122" s="18"/>
      <c r="F122" s="38"/>
      <c r="G122" s="39"/>
      <c r="H122" s="40"/>
      <c r="I122" s="41"/>
      <c r="J122" s="42"/>
      <c r="L122" s="83"/>
      <c r="M122" s="182"/>
      <c r="N122" s="83"/>
      <c r="O122" s="182"/>
      <c r="P122" s="88"/>
      <c r="Q122" s="94"/>
      <c r="R122" s="95"/>
      <c r="S122" s="95"/>
      <c r="T122" s="95"/>
      <c r="U122" s="95">
        <f t="shared" si="47"/>
        <v>0</v>
      </c>
      <c r="V122" s="95"/>
      <c r="W122" s="95">
        <f t="shared" si="48"/>
        <v>0</v>
      </c>
      <c r="X122" s="95"/>
      <c r="Y122" s="95"/>
    </row>
    <row r="123" spans="1:30" x14ac:dyDescent="0.2">
      <c r="A123" s="14"/>
      <c r="B123" s="20"/>
      <c r="C123" s="20"/>
      <c r="D123" s="2" t="s">
        <v>107</v>
      </c>
      <c r="E123" s="14"/>
      <c r="F123" s="48"/>
      <c r="G123" s="48"/>
      <c r="H123" s="48"/>
      <c r="I123" s="48"/>
      <c r="J123" s="48"/>
      <c r="L123" s="78"/>
      <c r="M123" s="182"/>
      <c r="N123" s="78"/>
      <c r="O123" s="182"/>
      <c r="P123" s="88"/>
      <c r="U123" s="1">
        <f t="shared" si="47"/>
        <v>0</v>
      </c>
      <c r="W123" s="1">
        <f t="shared" si="48"/>
        <v>0</v>
      </c>
    </row>
    <row r="124" spans="1:30" ht="15" customHeight="1" x14ac:dyDescent="0.2">
      <c r="A124" s="1"/>
      <c r="B124" s="277" t="s">
        <v>434</v>
      </c>
      <c r="C124" s="278"/>
      <c r="D124" s="278"/>
      <c r="E124" s="278"/>
      <c r="F124" s="278"/>
      <c r="G124" s="278"/>
      <c r="H124" s="278"/>
      <c r="I124" s="278"/>
      <c r="J124" s="279"/>
      <c r="L124" s="73"/>
      <c r="M124" s="182"/>
      <c r="N124" s="73"/>
      <c r="O124" s="182"/>
      <c r="P124" s="88"/>
      <c r="U124" s="1">
        <f t="shared" si="47"/>
        <v>0</v>
      </c>
      <c r="W124" s="1">
        <f t="shared" si="48"/>
        <v>0</v>
      </c>
    </row>
    <row r="125" spans="1:30" x14ac:dyDescent="0.2">
      <c r="A125" s="211"/>
      <c r="B125" s="60"/>
      <c r="C125" s="117"/>
      <c r="D125" s="7" t="s">
        <v>108</v>
      </c>
      <c r="E125" s="19"/>
      <c r="F125" s="43"/>
      <c r="G125" s="44"/>
      <c r="H125" s="40"/>
      <c r="I125" s="41"/>
      <c r="J125" s="42"/>
      <c r="L125" s="82"/>
      <c r="M125" s="182"/>
      <c r="N125" s="82"/>
      <c r="O125" s="182"/>
      <c r="P125" s="88"/>
      <c r="Q125" s="94"/>
      <c r="R125" s="95"/>
      <c r="S125" s="95"/>
      <c r="T125" s="95"/>
      <c r="U125" s="95">
        <f t="shared" si="47"/>
        <v>0</v>
      </c>
      <c r="V125" s="95"/>
      <c r="W125" s="95">
        <f t="shared" si="48"/>
        <v>0</v>
      </c>
      <c r="X125" s="95"/>
      <c r="Y125" s="95"/>
    </row>
    <row r="126" spans="1:30" x14ac:dyDescent="0.2">
      <c r="A126" s="14"/>
      <c r="B126" s="20"/>
      <c r="C126" s="20"/>
      <c r="D126" s="2" t="s">
        <v>109</v>
      </c>
      <c r="E126" s="14"/>
      <c r="F126" s="48"/>
      <c r="G126" s="48"/>
      <c r="H126" s="48"/>
      <c r="I126" s="48"/>
      <c r="J126" s="48"/>
      <c r="L126" s="78"/>
      <c r="M126" s="182"/>
      <c r="N126" s="78"/>
      <c r="O126" s="182"/>
      <c r="P126" s="88"/>
      <c r="U126" s="1">
        <f t="shared" si="47"/>
        <v>0</v>
      </c>
      <c r="W126" s="1">
        <f t="shared" si="48"/>
        <v>0</v>
      </c>
    </row>
    <row r="127" spans="1:30" x14ac:dyDescent="0.2">
      <c r="A127" s="207" t="s">
        <v>587</v>
      </c>
      <c r="B127" s="61"/>
      <c r="C127" s="118"/>
      <c r="D127" s="8" t="s">
        <v>110</v>
      </c>
      <c r="E127" s="15" t="s">
        <v>14</v>
      </c>
      <c r="F127" s="34">
        <f>+M127</f>
        <v>60</v>
      </c>
      <c r="G127" s="35">
        <f>+O127</f>
        <v>40</v>
      </c>
      <c r="H127" s="23">
        <f t="shared" ref="H127:J131" si="68">$G127*(1-H$1)</f>
        <v>38.799999999999997</v>
      </c>
      <c r="I127" s="24">
        <f t="shared" si="68"/>
        <v>38</v>
      </c>
      <c r="J127" s="25">
        <f t="shared" si="68"/>
        <v>37.599999999999994</v>
      </c>
      <c r="L127" s="79">
        <v>54</v>
      </c>
      <c r="M127" s="99">
        <f>L127/N127*O127</f>
        <v>60</v>
      </c>
      <c r="N127" s="79">
        <v>36</v>
      </c>
      <c r="O127" s="99">
        <v>40</v>
      </c>
      <c r="P127" s="88"/>
      <c r="Q127" s="94" t="s">
        <v>352</v>
      </c>
      <c r="R127" s="95"/>
      <c r="S127" s="95"/>
      <c r="T127" s="95"/>
      <c r="U127" s="95">
        <f t="shared" si="47"/>
        <v>0</v>
      </c>
      <c r="V127" s="95">
        <v>0.2</v>
      </c>
      <c r="W127" s="95">
        <f t="shared" si="48"/>
        <v>0</v>
      </c>
      <c r="X127" s="95">
        <f>+AC127+$AD$127</f>
        <v>1.1100000000000001</v>
      </c>
      <c r="Y127" s="95">
        <v>0.55000000000000004</v>
      </c>
      <c r="AC127" s="95">
        <v>1.1000000000000001</v>
      </c>
      <c r="AD127" s="1">
        <v>0.01</v>
      </c>
    </row>
    <row r="128" spans="1:30" x14ac:dyDescent="0.2">
      <c r="A128" s="210" t="s">
        <v>586</v>
      </c>
      <c r="C128" s="116"/>
      <c r="D128" s="6" t="s">
        <v>111</v>
      </c>
      <c r="E128" s="12" t="s">
        <v>14</v>
      </c>
      <c r="F128" s="34">
        <f t="shared" ref="F128:F131" si="69">+M128</f>
        <v>72</v>
      </c>
      <c r="G128" s="35">
        <f t="shared" ref="G128:G131" si="70">+O128</f>
        <v>52</v>
      </c>
      <c r="H128" s="23">
        <f t="shared" si="68"/>
        <v>50.44</v>
      </c>
      <c r="I128" s="24">
        <f t="shared" si="68"/>
        <v>49.4</v>
      </c>
      <c r="J128" s="25">
        <f t="shared" si="68"/>
        <v>48.879999999999995</v>
      </c>
      <c r="L128" s="76">
        <v>66</v>
      </c>
      <c r="M128" s="99">
        <f>ROUND(L128/N128*O128,0)</f>
        <v>72</v>
      </c>
      <c r="N128" s="76">
        <v>48</v>
      </c>
      <c r="O128" s="99">
        <v>52</v>
      </c>
      <c r="P128" s="88"/>
      <c r="Q128" s="94" t="s">
        <v>352</v>
      </c>
      <c r="R128" s="95"/>
      <c r="S128" s="95"/>
      <c r="T128" s="95"/>
      <c r="U128" s="95">
        <f>SUM(R128:T128)</f>
        <v>0</v>
      </c>
      <c r="V128" s="95">
        <v>0.05</v>
      </c>
      <c r="W128" s="95">
        <f t="shared" si="48"/>
        <v>0</v>
      </c>
      <c r="X128" s="95">
        <f t="shared" ref="X128:X131" si="71">+AC128+$AD$127</f>
        <v>0.61</v>
      </c>
      <c r="Y128" s="95">
        <v>0.4</v>
      </c>
      <c r="AC128" s="95">
        <v>0.6</v>
      </c>
    </row>
    <row r="129" spans="1:30" x14ac:dyDescent="0.2">
      <c r="A129" s="210" t="s">
        <v>585</v>
      </c>
      <c r="C129" s="116"/>
      <c r="D129" s="6" t="s">
        <v>112</v>
      </c>
      <c r="E129" s="12" t="s">
        <v>200</v>
      </c>
      <c r="F129" s="34">
        <f t="shared" si="69"/>
        <v>73</v>
      </c>
      <c r="G129" s="35">
        <f t="shared" si="70"/>
        <v>56</v>
      </c>
      <c r="H129" s="23">
        <f t="shared" si="68"/>
        <v>54.32</v>
      </c>
      <c r="I129" s="24">
        <f t="shared" si="68"/>
        <v>53.199999999999996</v>
      </c>
      <c r="J129" s="25">
        <f t="shared" si="68"/>
        <v>52.64</v>
      </c>
      <c r="L129" s="76">
        <v>65</v>
      </c>
      <c r="M129" s="99">
        <f t="shared" si="49"/>
        <v>73</v>
      </c>
      <c r="N129" s="76">
        <v>50</v>
      </c>
      <c r="O129" s="99">
        <f t="shared" si="50"/>
        <v>56</v>
      </c>
      <c r="P129" s="88"/>
      <c r="Q129" s="94" t="s">
        <v>324</v>
      </c>
      <c r="R129" s="95">
        <v>23</v>
      </c>
      <c r="S129" s="95">
        <f>325/24</f>
        <v>13.541666666666666</v>
      </c>
      <c r="T129" s="95"/>
      <c r="U129" s="95">
        <f t="shared" si="47"/>
        <v>36.541666666666664</v>
      </c>
      <c r="V129" s="95">
        <v>0.2</v>
      </c>
      <c r="W129" s="95">
        <f t="shared" si="48"/>
        <v>43.849999999999994</v>
      </c>
      <c r="X129" s="95">
        <f t="shared" si="71"/>
        <v>0.24000000000000002</v>
      </c>
      <c r="Y129" s="95">
        <v>0.3</v>
      </c>
      <c r="AA129" s="1">
        <f>14+7</f>
        <v>21</v>
      </c>
      <c r="AC129" s="95">
        <v>0.23</v>
      </c>
    </row>
    <row r="130" spans="1:30" x14ac:dyDescent="0.2">
      <c r="A130" s="211" t="s">
        <v>588</v>
      </c>
      <c r="B130" s="60"/>
      <c r="C130" s="117"/>
      <c r="D130" s="7" t="s">
        <v>113</v>
      </c>
      <c r="E130" s="13" t="s">
        <v>14</v>
      </c>
      <c r="F130" s="34">
        <f t="shared" si="69"/>
        <v>40</v>
      </c>
      <c r="G130" s="35">
        <f t="shared" si="70"/>
        <v>25</v>
      </c>
      <c r="H130" s="23">
        <f t="shared" si="68"/>
        <v>24.25</v>
      </c>
      <c r="I130" s="24">
        <f t="shared" si="68"/>
        <v>23.75</v>
      </c>
      <c r="J130" s="25">
        <f t="shared" si="68"/>
        <v>23.5</v>
      </c>
      <c r="L130" s="77">
        <v>39</v>
      </c>
      <c r="M130" s="99">
        <f>ROUNDDOWN(L130/N130*O130,0)</f>
        <v>40</v>
      </c>
      <c r="N130" s="77">
        <v>24</v>
      </c>
      <c r="O130" s="99">
        <v>25</v>
      </c>
      <c r="P130" s="88"/>
      <c r="Q130" s="94" t="s">
        <v>352</v>
      </c>
      <c r="R130" s="95"/>
      <c r="S130" s="95"/>
      <c r="T130" s="95"/>
      <c r="U130" s="95">
        <f t="shared" ref="U130" si="72">SUM(R130:T130)</f>
        <v>0</v>
      </c>
      <c r="V130" s="95">
        <v>0.2</v>
      </c>
      <c r="W130" s="95">
        <f t="shared" si="48"/>
        <v>0</v>
      </c>
      <c r="X130" s="95">
        <f t="shared" si="71"/>
        <v>2.3099999999999996</v>
      </c>
      <c r="Y130" s="95">
        <v>0.6</v>
      </c>
      <c r="AA130" s="1">
        <f>+AA128*1.2</f>
        <v>0</v>
      </c>
      <c r="AC130" s="95">
        <v>2.2999999999999998</v>
      </c>
    </row>
    <row r="131" spans="1:30" x14ac:dyDescent="0.2">
      <c r="A131" s="211" t="s">
        <v>781</v>
      </c>
      <c r="B131" s="60"/>
      <c r="C131" s="117"/>
      <c r="D131" s="7" t="s">
        <v>782</v>
      </c>
      <c r="E131" s="13" t="s">
        <v>14</v>
      </c>
      <c r="F131" s="34">
        <f t="shared" si="69"/>
        <v>38</v>
      </c>
      <c r="G131" s="35">
        <f t="shared" si="70"/>
        <v>30</v>
      </c>
      <c r="H131" s="23">
        <f t="shared" si="68"/>
        <v>29.099999999999998</v>
      </c>
      <c r="I131" s="24">
        <f t="shared" si="68"/>
        <v>28.5</v>
      </c>
      <c r="J131" s="25">
        <f t="shared" si="68"/>
        <v>28.2</v>
      </c>
      <c r="L131" s="77"/>
      <c r="M131" s="99">
        <v>38</v>
      </c>
      <c r="N131" s="77"/>
      <c r="O131" s="99">
        <v>30</v>
      </c>
      <c r="P131" s="88"/>
      <c r="Q131" s="94" t="s">
        <v>352</v>
      </c>
      <c r="R131" s="95"/>
      <c r="S131" s="95"/>
      <c r="T131" s="95"/>
      <c r="U131" s="95">
        <f t="shared" si="47"/>
        <v>0</v>
      </c>
      <c r="V131" s="95">
        <v>0.2</v>
      </c>
      <c r="W131" s="95">
        <f t="shared" si="48"/>
        <v>0</v>
      </c>
      <c r="X131" s="95">
        <f t="shared" si="71"/>
        <v>2.3099999999999996</v>
      </c>
      <c r="Y131" s="95">
        <v>0.6</v>
      </c>
      <c r="AA131" s="1">
        <f>+AA129*1.2</f>
        <v>25.2</v>
      </c>
      <c r="AC131" s="95">
        <v>2.2999999999999998</v>
      </c>
    </row>
    <row r="132" spans="1:30" x14ac:dyDescent="0.2">
      <c r="A132" s="14"/>
      <c r="B132" s="20"/>
      <c r="C132" s="20"/>
      <c r="D132" s="2" t="s">
        <v>114</v>
      </c>
      <c r="E132" s="20"/>
      <c r="F132" s="49"/>
      <c r="G132" s="50"/>
      <c r="H132" s="50"/>
      <c r="I132" s="50"/>
      <c r="J132" s="50"/>
      <c r="L132" s="80"/>
      <c r="M132" s="182"/>
      <c r="N132" s="81"/>
      <c r="O132" s="182"/>
      <c r="P132" s="88"/>
      <c r="U132" s="1">
        <f t="shared" si="47"/>
        <v>0</v>
      </c>
      <c r="W132" s="1">
        <f t="shared" si="48"/>
        <v>0</v>
      </c>
      <c r="AA132" s="1">
        <f>+AA131*1.03</f>
        <v>25.956</v>
      </c>
    </row>
    <row r="133" spans="1:30" x14ac:dyDescent="0.2">
      <c r="A133" s="207" t="s">
        <v>570</v>
      </c>
      <c r="B133" s="61"/>
      <c r="C133" s="118"/>
      <c r="D133" s="8" t="s">
        <v>115</v>
      </c>
      <c r="E133" s="15" t="s">
        <v>192</v>
      </c>
      <c r="F133" s="34">
        <f>+L133</f>
        <v>48</v>
      </c>
      <c r="G133" s="35">
        <f>+N133</f>
        <v>33</v>
      </c>
      <c r="H133" s="23">
        <f t="shared" ref="H133:J140" si="73">$G133*(1-H$1)</f>
        <v>32.01</v>
      </c>
      <c r="I133" s="24">
        <f t="shared" si="73"/>
        <v>31.349999999999998</v>
      </c>
      <c r="J133" s="25">
        <f t="shared" si="73"/>
        <v>31.02</v>
      </c>
      <c r="L133" s="101">
        <v>48</v>
      </c>
      <c r="M133" s="182">
        <f t="shared" si="49"/>
        <v>36</v>
      </c>
      <c r="N133" s="101">
        <v>33</v>
      </c>
      <c r="O133" s="182">
        <f t="shared" ref="O133:O140" si="74">ROUND(+W133*(1+X133)*(1+$R$1),0)</f>
        <v>25</v>
      </c>
      <c r="P133" s="88"/>
      <c r="Q133" s="94" t="s">
        <v>345</v>
      </c>
      <c r="R133" s="95">
        <v>12</v>
      </c>
      <c r="S133" s="95"/>
      <c r="T133" s="95"/>
      <c r="U133" s="95">
        <f>SUM(R133:T133)</f>
        <v>12</v>
      </c>
      <c r="V133" s="95">
        <v>0.2</v>
      </c>
      <c r="W133" s="95">
        <f>+U133*(1+V133)</f>
        <v>14.399999999999999</v>
      </c>
      <c r="X133" s="95">
        <v>0.68</v>
      </c>
      <c r="Y133" s="95">
        <v>0.45</v>
      </c>
      <c r="AA133" s="1">
        <f>+AA132*1.15</f>
        <v>29.849399999999996</v>
      </c>
      <c r="AB133" s="1">
        <v>30</v>
      </c>
      <c r="AC133" s="1">
        <f>+AB133/2000</f>
        <v>1.4999999999999999E-2</v>
      </c>
    </row>
    <row r="134" spans="1:30" x14ac:dyDescent="0.2">
      <c r="A134" s="210" t="s">
        <v>569</v>
      </c>
      <c r="C134" s="116"/>
      <c r="D134" s="6" t="s">
        <v>116</v>
      </c>
      <c r="E134" s="12" t="s">
        <v>192</v>
      </c>
      <c r="F134" s="34">
        <f t="shared" ref="F134:F140" si="75">+L134</f>
        <v>62</v>
      </c>
      <c r="G134" s="35">
        <f t="shared" ref="G134:G140" si="76">+N134</f>
        <v>44</v>
      </c>
      <c r="H134" s="23">
        <f t="shared" si="73"/>
        <v>42.68</v>
      </c>
      <c r="I134" s="24">
        <f t="shared" si="73"/>
        <v>41.8</v>
      </c>
      <c r="J134" s="25">
        <f t="shared" si="73"/>
        <v>41.36</v>
      </c>
      <c r="L134" s="99">
        <v>62</v>
      </c>
      <c r="M134" s="182">
        <f t="shared" si="49"/>
        <v>62</v>
      </c>
      <c r="N134" s="99">
        <v>44</v>
      </c>
      <c r="O134" s="182">
        <f t="shared" si="74"/>
        <v>44</v>
      </c>
      <c r="P134" s="188"/>
      <c r="Q134" s="94" t="s">
        <v>347</v>
      </c>
      <c r="R134" s="95">
        <v>20.95</v>
      </c>
      <c r="S134" s="95"/>
      <c r="T134" s="95"/>
      <c r="U134" s="95">
        <f t="shared" si="47"/>
        <v>20.95</v>
      </c>
      <c r="V134" s="95">
        <v>0.2</v>
      </c>
      <c r="W134" s="95">
        <f t="shared" si="48"/>
        <v>25.139999999999997</v>
      </c>
      <c r="X134" s="95">
        <v>0.7</v>
      </c>
      <c r="Y134" s="95">
        <v>0.4</v>
      </c>
      <c r="AA134" s="1">
        <f>AA133*1.3</f>
        <v>38.804219999999994</v>
      </c>
      <c r="AB134" s="1">
        <v>38</v>
      </c>
      <c r="AC134" s="1">
        <f>+AB134/2000</f>
        <v>1.9E-2</v>
      </c>
    </row>
    <row r="135" spans="1:30" x14ac:dyDescent="0.2">
      <c r="A135" s="210" t="s">
        <v>571</v>
      </c>
      <c r="C135" s="116"/>
      <c r="D135" s="6" t="s">
        <v>117</v>
      </c>
      <c r="E135" s="12" t="s">
        <v>192</v>
      </c>
      <c r="F135" s="34">
        <f t="shared" si="75"/>
        <v>55</v>
      </c>
      <c r="G135" s="35">
        <f t="shared" si="76"/>
        <v>38</v>
      </c>
      <c r="H135" s="23">
        <f t="shared" si="73"/>
        <v>36.86</v>
      </c>
      <c r="I135" s="24">
        <f t="shared" si="73"/>
        <v>36.1</v>
      </c>
      <c r="J135" s="25">
        <f t="shared" si="73"/>
        <v>35.72</v>
      </c>
      <c r="L135" s="99">
        <v>55</v>
      </c>
      <c r="M135" s="182">
        <f t="shared" si="49"/>
        <v>54</v>
      </c>
      <c r="N135" s="99">
        <v>38</v>
      </c>
      <c r="O135" s="182">
        <f t="shared" si="74"/>
        <v>38</v>
      </c>
      <c r="P135" s="188"/>
      <c r="Q135" s="94" t="s">
        <v>345</v>
      </c>
      <c r="R135" s="95">
        <v>17.850000000000001</v>
      </c>
      <c r="S135" s="95"/>
      <c r="T135" s="95"/>
      <c r="U135" s="95">
        <f t="shared" si="47"/>
        <v>17.850000000000001</v>
      </c>
      <c r="V135" s="95">
        <v>0.2</v>
      </c>
      <c r="W135" s="95">
        <f t="shared" si="48"/>
        <v>21.42</v>
      </c>
      <c r="X135" s="95">
        <v>0.7</v>
      </c>
      <c r="Y135" s="95">
        <v>0.45</v>
      </c>
    </row>
    <row r="136" spans="1:30" x14ac:dyDescent="0.2">
      <c r="A136" s="210" t="s">
        <v>566</v>
      </c>
      <c r="C136" s="116"/>
      <c r="D136" s="6" t="s">
        <v>118</v>
      </c>
      <c r="E136" s="12" t="s">
        <v>192</v>
      </c>
      <c r="F136" s="34">
        <f t="shared" si="75"/>
        <v>55</v>
      </c>
      <c r="G136" s="35">
        <f t="shared" si="76"/>
        <v>38</v>
      </c>
      <c r="H136" s="23">
        <f t="shared" si="73"/>
        <v>36.86</v>
      </c>
      <c r="I136" s="24">
        <f t="shared" si="73"/>
        <v>36.1</v>
      </c>
      <c r="J136" s="25">
        <f t="shared" si="73"/>
        <v>35.72</v>
      </c>
      <c r="L136" s="99">
        <v>55</v>
      </c>
      <c r="M136" s="182">
        <f t="shared" si="49"/>
        <v>53</v>
      </c>
      <c r="N136" s="99">
        <v>38</v>
      </c>
      <c r="O136" s="182">
        <f t="shared" si="74"/>
        <v>37</v>
      </c>
      <c r="P136" s="188"/>
      <c r="Q136" s="94" t="s">
        <v>345</v>
      </c>
      <c r="R136" s="95">
        <v>18</v>
      </c>
      <c r="S136" s="95"/>
      <c r="T136" s="95"/>
      <c r="U136" s="95">
        <f t="shared" si="47"/>
        <v>18</v>
      </c>
      <c r="V136" s="95">
        <v>0.2</v>
      </c>
      <c r="W136" s="95">
        <f t="shared" si="48"/>
        <v>21.599999999999998</v>
      </c>
      <c r="X136" s="95">
        <v>0.66</v>
      </c>
      <c r="Y136" s="95">
        <v>0.44</v>
      </c>
    </row>
    <row r="137" spans="1:30" x14ac:dyDescent="0.2">
      <c r="A137" s="210" t="s">
        <v>567</v>
      </c>
      <c r="C137" s="116"/>
      <c r="D137" s="6" t="s">
        <v>119</v>
      </c>
      <c r="E137" s="12" t="s">
        <v>192</v>
      </c>
      <c r="F137" s="34">
        <f t="shared" si="75"/>
        <v>55</v>
      </c>
      <c r="G137" s="35">
        <f t="shared" si="76"/>
        <v>38</v>
      </c>
      <c r="H137" s="23">
        <f t="shared" si="73"/>
        <v>36.86</v>
      </c>
      <c r="I137" s="24">
        <f t="shared" si="73"/>
        <v>36.1</v>
      </c>
      <c r="J137" s="25">
        <f t="shared" si="73"/>
        <v>35.72</v>
      </c>
      <c r="L137" s="99">
        <v>55</v>
      </c>
      <c r="M137" s="182">
        <f t="shared" si="49"/>
        <v>53</v>
      </c>
      <c r="N137" s="99">
        <v>38</v>
      </c>
      <c r="O137" s="182">
        <f t="shared" si="74"/>
        <v>37</v>
      </c>
      <c r="P137" s="188"/>
      <c r="Q137" s="94" t="s">
        <v>345</v>
      </c>
      <c r="R137" s="95">
        <v>18</v>
      </c>
      <c r="S137" s="95"/>
      <c r="T137" s="95"/>
      <c r="U137" s="95">
        <f t="shared" si="47"/>
        <v>18</v>
      </c>
      <c r="V137" s="95">
        <v>0.2</v>
      </c>
      <c r="W137" s="95">
        <f t="shared" si="48"/>
        <v>21.599999999999998</v>
      </c>
      <c r="X137" s="95">
        <v>0.66</v>
      </c>
      <c r="Y137" s="95">
        <v>0.44</v>
      </c>
    </row>
    <row r="138" spans="1:30" x14ac:dyDescent="0.2">
      <c r="A138" s="210" t="s">
        <v>568</v>
      </c>
      <c r="C138" s="116"/>
      <c r="D138" s="6" t="s">
        <v>212</v>
      </c>
      <c r="E138" s="12" t="s">
        <v>192</v>
      </c>
      <c r="F138" s="34">
        <f t="shared" si="75"/>
        <v>72</v>
      </c>
      <c r="G138" s="35">
        <f t="shared" si="76"/>
        <v>53</v>
      </c>
      <c r="H138" s="23">
        <f t="shared" si="73"/>
        <v>51.41</v>
      </c>
      <c r="I138" s="24">
        <f t="shared" si="73"/>
        <v>50.349999999999994</v>
      </c>
      <c r="J138" s="25">
        <f t="shared" si="73"/>
        <v>49.82</v>
      </c>
      <c r="L138" s="99">
        <v>72</v>
      </c>
      <c r="M138" s="182">
        <f t="shared" si="49"/>
        <v>69</v>
      </c>
      <c r="N138" s="99">
        <v>53</v>
      </c>
      <c r="O138" s="182">
        <f t="shared" si="74"/>
        <v>51</v>
      </c>
      <c r="P138" s="88" t="s">
        <v>468</v>
      </c>
      <c r="Q138" s="94" t="s">
        <v>346</v>
      </c>
      <c r="R138" s="95">
        <v>24.75</v>
      </c>
      <c r="S138" s="95"/>
      <c r="T138" s="95"/>
      <c r="U138" s="95">
        <f t="shared" si="47"/>
        <v>24.75</v>
      </c>
      <c r="V138" s="95">
        <v>0.2</v>
      </c>
      <c r="W138" s="95">
        <f t="shared" si="48"/>
        <v>29.7</v>
      </c>
      <c r="X138" s="95">
        <v>0.66</v>
      </c>
      <c r="Y138" s="95">
        <v>0.35</v>
      </c>
    </row>
    <row r="139" spans="1:30" x14ac:dyDescent="0.2">
      <c r="A139" s="210" t="s">
        <v>573</v>
      </c>
      <c r="C139" s="116"/>
      <c r="D139" s="6" t="s">
        <v>120</v>
      </c>
      <c r="E139" s="12" t="s">
        <v>192</v>
      </c>
      <c r="F139" s="34">
        <f t="shared" si="75"/>
        <v>75</v>
      </c>
      <c r="G139" s="35">
        <f t="shared" si="76"/>
        <v>53</v>
      </c>
      <c r="H139" s="23">
        <f t="shared" si="73"/>
        <v>51.41</v>
      </c>
      <c r="I139" s="24">
        <f t="shared" si="73"/>
        <v>50.349999999999994</v>
      </c>
      <c r="J139" s="25">
        <f t="shared" si="73"/>
        <v>49.82</v>
      </c>
      <c r="L139" s="99">
        <v>75</v>
      </c>
      <c r="M139" s="182">
        <f t="shared" si="49"/>
        <v>77</v>
      </c>
      <c r="N139" s="99">
        <v>53</v>
      </c>
      <c r="O139" s="182">
        <f t="shared" si="74"/>
        <v>55</v>
      </c>
      <c r="P139" s="88"/>
      <c r="Q139" s="94" t="s">
        <v>346</v>
      </c>
      <c r="R139" s="95">
        <v>26.75</v>
      </c>
      <c r="S139" s="95"/>
      <c r="T139" s="95"/>
      <c r="U139" s="95">
        <f t="shared" si="47"/>
        <v>26.75</v>
      </c>
      <c r="V139" s="95">
        <v>0.2</v>
      </c>
      <c r="W139" s="95">
        <f t="shared" si="48"/>
        <v>32.1</v>
      </c>
      <c r="X139" s="95">
        <v>0.65</v>
      </c>
      <c r="Y139" s="95">
        <v>0.42</v>
      </c>
    </row>
    <row r="140" spans="1:30" x14ac:dyDescent="0.2">
      <c r="A140" s="211" t="s">
        <v>572</v>
      </c>
      <c r="B140" s="60"/>
      <c r="C140" s="117"/>
      <c r="D140" s="7" t="s">
        <v>121</v>
      </c>
      <c r="E140" s="13" t="s">
        <v>192</v>
      </c>
      <c r="F140" s="34">
        <f t="shared" si="75"/>
        <v>75</v>
      </c>
      <c r="G140" s="35">
        <f t="shared" si="76"/>
        <v>54</v>
      </c>
      <c r="H140" s="23">
        <f t="shared" si="73"/>
        <v>52.379999999999995</v>
      </c>
      <c r="I140" s="24">
        <f t="shared" si="73"/>
        <v>51.3</v>
      </c>
      <c r="J140" s="25">
        <f t="shared" si="73"/>
        <v>50.76</v>
      </c>
      <c r="L140" s="100">
        <v>75</v>
      </c>
      <c r="M140" s="182">
        <f t="shared" si="49"/>
        <v>75</v>
      </c>
      <c r="N140" s="100">
        <v>54</v>
      </c>
      <c r="O140" s="182">
        <f t="shared" si="74"/>
        <v>54</v>
      </c>
      <c r="P140" s="188"/>
      <c r="Q140" s="94" t="s">
        <v>346</v>
      </c>
      <c r="R140" s="95">
        <v>26.5</v>
      </c>
      <c r="S140" s="95"/>
      <c r="T140" s="95"/>
      <c r="U140" s="95">
        <f t="shared" si="47"/>
        <v>26.5</v>
      </c>
      <c r="V140" s="95">
        <v>0.2</v>
      </c>
      <c r="W140" s="95">
        <f t="shared" si="48"/>
        <v>31.799999999999997</v>
      </c>
      <c r="X140" s="95">
        <v>0.65</v>
      </c>
      <c r="Y140" s="95">
        <v>0.39</v>
      </c>
    </row>
    <row r="141" spans="1:30" x14ac:dyDescent="0.2">
      <c r="A141" s="14"/>
      <c r="B141" s="20"/>
      <c r="C141" s="20"/>
      <c r="D141" s="2" t="s">
        <v>122</v>
      </c>
      <c r="E141" s="14"/>
      <c r="F141" s="48"/>
      <c r="G141" s="48"/>
      <c r="H141" s="48"/>
      <c r="I141" s="48"/>
      <c r="J141" s="48"/>
      <c r="L141" s="78"/>
      <c r="M141" s="182"/>
      <c r="N141" s="78"/>
      <c r="O141" s="182"/>
      <c r="P141" s="88"/>
      <c r="U141" s="1">
        <f t="shared" si="47"/>
        <v>0</v>
      </c>
      <c r="W141" s="1">
        <f t="shared" si="48"/>
        <v>0</v>
      </c>
    </row>
    <row r="142" spans="1:30" x14ac:dyDescent="0.2">
      <c r="A142" s="207" t="s">
        <v>641</v>
      </c>
      <c r="B142" s="61"/>
      <c r="C142" s="118"/>
      <c r="D142" s="8" t="s">
        <v>123</v>
      </c>
      <c r="E142" s="15" t="s">
        <v>188</v>
      </c>
      <c r="F142" s="34">
        <f>+M142</f>
        <v>64</v>
      </c>
      <c r="G142" s="35">
        <f>+O142</f>
        <v>44</v>
      </c>
      <c r="H142" s="23">
        <f t="shared" ref="H142:J156" si="77">$G142*(1-H$1)</f>
        <v>42.68</v>
      </c>
      <c r="I142" s="24">
        <f t="shared" si="77"/>
        <v>41.8</v>
      </c>
      <c r="J142" s="25">
        <f t="shared" si="77"/>
        <v>41.36</v>
      </c>
      <c r="L142" s="79">
        <v>49</v>
      </c>
      <c r="M142" s="99">
        <f t="shared" si="49"/>
        <v>64</v>
      </c>
      <c r="N142" s="79">
        <v>34</v>
      </c>
      <c r="O142" s="99">
        <f t="shared" si="50"/>
        <v>44</v>
      </c>
      <c r="P142" s="88"/>
      <c r="Q142" s="94" t="s">
        <v>327</v>
      </c>
      <c r="R142" s="95">
        <v>26.25</v>
      </c>
      <c r="S142" s="95">
        <f>15/50</f>
        <v>0.3</v>
      </c>
      <c r="T142" s="95"/>
      <c r="U142" s="95">
        <f t="shared" si="47"/>
        <v>26.55</v>
      </c>
      <c r="V142" s="95">
        <v>0.05</v>
      </c>
      <c r="W142" s="95">
        <f t="shared" si="48"/>
        <v>27.877500000000001</v>
      </c>
      <c r="X142" s="197">
        <v>0.54</v>
      </c>
      <c r="Y142" s="95">
        <v>0.45</v>
      </c>
      <c r="AC142" s="95">
        <v>0.7</v>
      </c>
      <c r="AD142" s="1">
        <v>0.01</v>
      </c>
    </row>
    <row r="143" spans="1:30" x14ac:dyDescent="0.2">
      <c r="A143" s="210" t="s">
        <v>640</v>
      </c>
      <c r="C143" s="116"/>
      <c r="D143" s="6" t="s">
        <v>124</v>
      </c>
      <c r="E143" s="12" t="s">
        <v>188</v>
      </c>
      <c r="F143" s="34">
        <f t="shared" ref="F143:F144" si="78">+M143</f>
        <v>403</v>
      </c>
      <c r="G143" s="35">
        <f t="shared" ref="G143:G144" si="79">+O143</f>
        <v>297</v>
      </c>
      <c r="H143" s="23">
        <f t="shared" si="77"/>
        <v>288.08999999999997</v>
      </c>
      <c r="I143" s="24">
        <f t="shared" si="77"/>
        <v>282.14999999999998</v>
      </c>
      <c r="J143" s="25">
        <f t="shared" si="77"/>
        <v>279.18</v>
      </c>
      <c r="L143" s="76">
        <v>400</v>
      </c>
      <c r="M143" s="99">
        <f t="shared" si="49"/>
        <v>403</v>
      </c>
      <c r="N143" s="76">
        <v>295</v>
      </c>
      <c r="O143" s="99">
        <f t="shared" si="50"/>
        <v>297</v>
      </c>
      <c r="P143" s="188"/>
      <c r="Q143" s="94" t="s">
        <v>324</v>
      </c>
      <c r="R143" s="95">
        <v>200</v>
      </c>
      <c r="S143" s="95"/>
      <c r="T143" s="95"/>
      <c r="U143" s="95">
        <f t="shared" ref="U143:U198" si="80">SUM(R143:T143)</f>
        <v>200</v>
      </c>
      <c r="V143" s="95"/>
      <c r="W143" s="95">
        <f t="shared" ref="W143:W206" si="81">+U143*(1+V143)</f>
        <v>200</v>
      </c>
      <c r="X143" s="197">
        <f t="shared" ref="X143:X154" si="82">+AC143+$AD$142</f>
        <v>0.442</v>
      </c>
      <c r="Y143" s="95">
        <v>0.35499999999999998</v>
      </c>
      <c r="AC143" s="95">
        <v>0.432</v>
      </c>
    </row>
    <row r="144" spans="1:30" x14ac:dyDescent="0.2">
      <c r="A144" s="210" t="s">
        <v>639</v>
      </c>
      <c r="C144" s="116"/>
      <c r="D144" s="6" t="s">
        <v>125</v>
      </c>
      <c r="E144" s="12" t="s">
        <v>188</v>
      </c>
      <c r="F144" s="34">
        <f t="shared" si="78"/>
        <v>32</v>
      </c>
      <c r="G144" s="35">
        <f t="shared" si="79"/>
        <v>24</v>
      </c>
      <c r="H144" s="23">
        <f t="shared" si="77"/>
        <v>23.28</v>
      </c>
      <c r="I144" s="24">
        <f t="shared" si="77"/>
        <v>22.799999999999997</v>
      </c>
      <c r="J144" s="25">
        <f t="shared" si="77"/>
        <v>22.56</v>
      </c>
      <c r="L144" s="76">
        <v>32</v>
      </c>
      <c r="M144" s="99">
        <f t="shared" ref="M144:M193" si="83">ROUND(+W144*(1+X144)*(1+Y144)*(1+$R$1),0)</f>
        <v>32</v>
      </c>
      <c r="N144" s="76">
        <v>24</v>
      </c>
      <c r="O144" s="99">
        <f t="shared" ref="O144:O193" si="84">ROUND(+W144*(1+X144)*(1+$R$1),0)</f>
        <v>24</v>
      </c>
      <c r="P144" s="188"/>
      <c r="Q144" s="94" t="s">
        <v>324</v>
      </c>
      <c r="R144" s="95">
        <f>200/12</f>
        <v>16.666666666666668</v>
      </c>
      <c r="S144" s="95"/>
      <c r="T144" s="95"/>
      <c r="U144" s="95">
        <f t="shared" si="80"/>
        <v>16.666666666666668</v>
      </c>
      <c r="V144" s="95"/>
      <c r="W144" s="95">
        <f t="shared" si="81"/>
        <v>16.666666666666668</v>
      </c>
      <c r="X144" s="197">
        <f t="shared" si="82"/>
        <v>0.41000000000000003</v>
      </c>
      <c r="Y144" s="95">
        <v>0.33500000000000002</v>
      </c>
      <c r="AC144" s="95">
        <v>0.4</v>
      </c>
    </row>
    <row r="145" spans="1:29" x14ac:dyDescent="0.2">
      <c r="A145" s="212" t="s">
        <v>625</v>
      </c>
      <c r="C145" s="131"/>
      <c r="D145" s="6" t="s">
        <v>126</v>
      </c>
      <c r="E145" s="12" t="s">
        <v>193</v>
      </c>
      <c r="F145" s="34">
        <f t="shared" ref="F145:F147" si="85">+L145</f>
        <v>30</v>
      </c>
      <c r="G145" s="35">
        <f t="shared" ref="G145:G147" si="86">+N145</f>
        <v>21</v>
      </c>
      <c r="H145" s="23">
        <f t="shared" si="77"/>
        <v>20.37</v>
      </c>
      <c r="I145" s="24">
        <f t="shared" si="77"/>
        <v>19.95</v>
      </c>
      <c r="J145" s="25">
        <f t="shared" si="77"/>
        <v>19.739999999999998</v>
      </c>
      <c r="L145" s="99">
        <v>30</v>
      </c>
      <c r="M145" s="182">
        <f t="shared" si="83"/>
        <v>27</v>
      </c>
      <c r="N145" s="99">
        <v>21</v>
      </c>
      <c r="O145" s="182">
        <f t="shared" si="84"/>
        <v>19</v>
      </c>
      <c r="P145" s="88"/>
      <c r="Q145" s="94" t="s">
        <v>335</v>
      </c>
      <c r="R145" s="95">
        <v>11.55</v>
      </c>
      <c r="S145" s="95"/>
      <c r="T145" s="95"/>
      <c r="U145" s="95">
        <f t="shared" si="80"/>
        <v>11.55</v>
      </c>
      <c r="V145" s="95"/>
      <c r="W145" s="95">
        <f t="shared" si="81"/>
        <v>11.55</v>
      </c>
      <c r="X145" s="197">
        <f t="shared" si="82"/>
        <v>0.61</v>
      </c>
      <c r="Y145" s="95">
        <v>0.4</v>
      </c>
      <c r="AC145" s="95">
        <v>0.6</v>
      </c>
    </row>
    <row r="146" spans="1:29" x14ac:dyDescent="0.2">
      <c r="A146" s="212" t="s">
        <v>627</v>
      </c>
      <c r="C146" s="131"/>
      <c r="D146" s="6" t="s">
        <v>127</v>
      </c>
      <c r="E146" s="12" t="s">
        <v>193</v>
      </c>
      <c r="F146" s="34">
        <f t="shared" si="85"/>
        <v>175</v>
      </c>
      <c r="G146" s="35">
        <f t="shared" si="86"/>
        <v>125</v>
      </c>
      <c r="H146" s="23">
        <f t="shared" si="77"/>
        <v>121.25</v>
      </c>
      <c r="I146" s="24">
        <f t="shared" si="77"/>
        <v>118.75</v>
      </c>
      <c r="J146" s="25">
        <f t="shared" si="77"/>
        <v>117.5</v>
      </c>
      <c r="L146" s="99">
        <v>175</v>
      </c>
      <c r="M146" s="182">
        <f t="shared" si="83"/>
        <v>175</v>
      </c>
      <c r="N146" s="99">
        <v>125</v>
      </c>
      <c r="O146" s="182">
        <f t="shared" si="84"/>
        <v>125</v>
      </c>
      <c r="P146" s="188"/>
      <c r="Q146" s="94" t="s">
        <v>335</v>
      </c>
      <c r="R146" s="95">
        <v>75.290000000000006</v>
      </c>
      <c r="S146" s="95"/>
      <c r="T146" s="95"/>
      <c r="U146" s="95">
        <f t="shared" si="80"/>
        <v>75.290000000000006</v>
      </c>
      <c r="V146" s="95"/>
      <c r="W146" s="95">
        <f t="shared" si="81"/>
        <v>75.290000000000006</v>
      </c>
      <c r="X146" s="197">
        <f t="shared" si="82"/>
        <v>0.61</v>
      </c>
      <c r="Y146" s="95">
        <v>0.4</v>
      </c>
      <c r="AC146" s="95">
        <v>0.6</v>
      </c>
    </row>
    <row r="147" spans="1:29" x14ac:dyDescent="0.2">
      <c r="A147" s="212" t="s">
        <v>632</v>
      </c>
      <c r="C147" s="131"/>
      <c r="D147" s="6" t="s">
        <v>128</v>
      </c>
      <c r="E147" s="12" t="s">
        <v>193</v>
      </c>
      <c r="F147" s="34">
        <f t="shared" si="85"/>
        <v>251</v>
      </c>
      <c r="G147" s="35">
        <f t="shared" si="86"/>
        <v>179</v>
      </c>
      <c r="H147" s="23">
        <f t="shared" si="77"/>
        <v>173.63</v>
      </c>
      <c r="I147" s="24">
        <f t="shared" si="77"/>
        <v>170.04999999999998</v>
      </c>
      <c r="J147" s="25">
        <f t="shared" si="77"/>
        <v>168.26</v>
      </c>
      <c r="L147" s="99">
        <v>251</v>
      </c>
      <c r="M147" s="182">
        <f t="shared" si="83"/>
        <v>251</v>
      </c>
      <c r="N147" s="99">
        <v>179</v>
      </c>
      <c r="O147" s="182">
        <f t="shared" si="84"/>
        <v>179</v>
      </c>
      <c r="P147" s="188"/>
      <c r="Q147" s="94" t="s">
        <v>335</v>
      </c>
      <c r="R147" s="95">
        <v>108.09</v>
      </c>
      <c r="S147" s="95"/>
      <c r="T147" s="95"/>
      <c r="U147" s="95">
        <f t="shared" si="80"/>
        <v>108.09</v>
      </c>
      <c r="V147" s="95"/>
      <c r="W147" s="95">
        <f t="shared" si="81"/>
        <v>108.09</v>
      </c>
      <c r="X147" s="197">
        <f t="shared" si="82"/>
        <v>0.61</v>
      </c>
      <c r="Y147" s="95">
        <v>0.4</v>
      </c>
      <c r="AC147" s="95">
        <v>0.6</v>
      </c>
    </row>
    <row r="148" spans="1:29" x14ac:dyDescent="0.2">
      <c r="A148" s="212" t="s">
        <v>626</v>
      </c>
      <c r="C148" s="131"/>
      <c r="D148" s="6" t="s">
        <v>129</v>
      </c>
      <c r="E148" s="12" t="s">
        <v>193</v>
      </c>
      <c r="F148" s="34">
        <f t="shared" ref="F148:F153" si="87">+M148</f>
        <v>180</v>
      </c>
      <c r="G148" s="35">
        <f t="shared" ref="G148:G153" si="88">+O148</f>
        <v>128</v>
      </c>
      <c r="H148" s="23">
        <f t="shared" si="77"/>
        <v>124.16</v>
      </c>
      <c r="I148" s="24">
        <f t="shared" si="77"/>
        <v>121.6</v>
      </c>
      <c r="J148" s="25">
        <f t="shared" si="77"/>
        <v>120.32</v>
      </c>
      <c r="L148" s="76">
        <v>198</v>
      </c>
      <c r="M148" s="99">
        <f t="shared" si="83"/>
        <v>180</v>
      </c>
      <c r="N148" s="76">
        <v>141</v>
      </c>
      <c r="O148" s="99">
        <f t="shared" si="84"/>
        <v>128</v>
      </c>
      <c r="P148" s="88"/>
      <c r="Q148" s="94" t="s">
        <v>335</v>
      </c>
      <c r="R148" s="95">
        <v>77.319999999999993</v>
      </c>
      <c r="S148" s="95"/>
      <c r="T148" s="95"/>
      <c r="U148" s="95">
        <f t="shared" si="80"/>
        <v>77.319999999999993</v>
      </c>
      <c r="V148" s="95"/>
      <c r="W148" s="95">
        <f t="shared" si="81"/>
        <v>77.319999999999993</v>
      </c>
      <c r="X148" s="197">
        <f t="shared" si="82"/>
        <v>0.61</v>
      </c>
      <c r="Y148" s="95">
        <v>0.4</v>
      </c>
      <c r="AC148" s="95">
        <v>0.6</v>
      </c>
    </row>
    <row r="149" spans="1:29" x14ac:dyDescent="0.2">
      <c r="A149" s="212" t="s">
        <v>630</v>
      </c>
      <c r="C149" s="131"/>
      <c r="D149" s="6" t="s">
        <v>130</v>
      </c>
      <c r="E149" s="12" t="s">
        <v>193</v>
      </c>
      <c r="F149" s="34">
        <f t="shared" si="87"/>
        <v>255</v>
      </c>
      <c r="G149" s="35">
        <f t="shared" si="88"/>
        <v>182</v>
      </c>
      <c r="H149" s="23">
        <f t="shared" si="77"/>
        <v>176.54</v>
      </c>
      <c r="I149" s="24">
        <f t="shared" si="77"/>
        <v>172.9</v>
      </c>
      <c r="J149" s="25">
        <f t="shared" si="77"/>
        <v>171.07999999999998</v>
      </c>
      <c r="L149" s="76">
        <v>281</v>
      </c>
      <c r="M149" s="99">
        <f t="shared" si="83"/>
        <v>255</v>
      </c>
      <c r="N149" s="76">
        <v>201</v>
      </c>
      <c r="O149" s="99">
        <f t="shared" si="84"/>
        <v>182</v>
      </c>
      <c r="P149" s="88"/>
      <c r="Q149" s="94" t="s">
        <v>335</v>
      </c>
      <c r="R149" s="95">
        <v>110.05</v>
      </c>
      <c r="S149" s="95"/>
      <c r="T149" s="95"/>
      <c r="U149" s="95">
        <f t="shared" si="80"/>
        <v>110.05</v>
      </c>
      <c r="V149" s="95"/>
      <c r="W149" s="95">
        <f t="shared" si="81"/>
        <v>110.05</v>
      </c>
      <c r="X149" s="197">
        <f t="shared" si="82"/>
        <v>0.61</v>
      </c>
      <c r="Y149" s="95">
        <v>0.4</v>
      </c>
      <c r="AC149" s="95">
        <v>0.6</v>
      </c>
    </row>
    <row r="150" spans="1:29" x14ac:dyDescent="0.2">
      <c r="A150" s="212" t="s">
        <v>789</v>
      </c>
      <c r="C150" s="131"/>
      <c r="D150" s="6" t="s">
        <v>790</v>
      </c>
      <c r="E150" s="12" t="s">
        <v>193</v>
      </c>
      <c r="F150" s="34">
        <f t="shared" si="87"/>
        <v>170</v>
      </c>
      <c r="G150" s="35">
        <f t="shared" si="88"/>
        <v>110.5</v>
      </c>
      <c r="H150" s="23">
        <f t="shared" si="77"/>
        <v>107.185</v>
      </c>
      <c r="I150" s="24">
        <f t="shared" si="77"/>
        <v>104.97499999999999</v>
      </c>
      <c r="J150" s="25">
        <f t="shared" si="77"/>
        <v>103.86999999999999</v>
      </c>
      <c r="L150" s="76"/>
      <c r="M150" s="99">
        <f t="shared" si="83"/>
        <v>170</v>
      </c>
      <c r="N150" s="76"/>
      <c r="O150" s="99">
        <f>ROUND(+W150*(1+X150)*(1+$R$1),2)</f>
        <v>110.5</v>
      </c>
      <c r="P150" s="88"/>
      <c r="Q150" s="94" t="s">
        <v>335</v>
      </c>
      <c r="R150" s="95">
        <v>75.438000000000002</v>
      </c>
      <c r="S150" s="95"/>
      <c r="T150" s="95"/>
      <c r="U150" s="95">
        <f t="shared" ref="U150" si="89">SUM(R150:T150)</f>
        <v>75.438000000000002</v>
      </c>
      <c r="V150" s="95"/>
      <c r="W150" s="95">
        <f t="shared" si="81"/>
        <v>75.438000000000002</v>
      </c>
      <c r="X150" s="197">
        <v>0.42214400000000007</v>
      </c>
      <c r="Y150" s="95">
        <v>0.53942857142857148</v>
      </c>
      <c r="AC150" s="95">
        <v>0.6</v>
      </c>
    </row>
    <row r="151" spans="1:29" x14ac:dyDescent="0.2">
      <c r="A151" s="212" t="s">
        <v>629</v>
      </c>
      <c r="C151" s="131"/>
      <c r="D151" s="6" t="s">
        <v>131</v>
      </c>
      <c r="E151" s="12" t="s">
        <v>193</v>
      </c>
      <c r="F151" s="34">
        <f t="shared" si="87"/>
        <v>138</v>
      </c>
      <c r="G151" s="35">
        <f t="shared" si="88"/>
        <v>98</v>
      </c>
      <c r="H151" s="23">
        <f t="shared" si="77"/>
        <v>95.06</v>
      </c>
      <c r="I151" s="24">
        <f t="shared" si="77"/>
        <v>93.1</v>
      </c>
      <c r="J151" s="25">
        <f t="shared" si="77"/>
        <v>92.11999999999999</v>
      </c>
      <c r="L151" s="76">
        <v>143</v>
      </c>
      <c r="M151" s="99">
        <f t="shared" si="83"/>
        <v>138</v>
      </c>
      <c r="N151" s="76">
        <v>102</v>
      </c>
      <c r="O151" s="99">
        <f t="shared" si="84"/>
        <v>98</v>
      </c>
      <c r="P151" s="88"/>
      <c r="Q151" s="94" t="s">
        <v>335</v>
      </c>
      <c r="R151" s="95">
        <v>59.24</v>
      </c>
      <c r="S151" s="95"/>
      <c r="T151" s="95"/>
      <c r="U151" s="95">
        <f t="shared" si="80"/>
        <v>59.24</v>
      </c>
      <c r="V151" s="95"/>
      <c r="W151" s="95">
        <f t="shared" si="81"/>
        <v>59.24</v>
      </c>
      <c r="X151" s="197">
        <f t="shared" si="82"/>
        <v>0.61</v>
      </c>
      <c r="Y151" s="95">
        <v>0.4</v>
      </c>
      <c r="AC151" s="95">
        <v>0.6</v>
      </c>
    </row>
    <row r="152" spans="1:29" x14ac:dyDescent="0.2">
      <c r="A152" s="212" t="s">
        <v>628</v>
      </c>
      <c r="C152" s="131"/>
      <c r="D152" s="6" t="s">
        <v>132</v>
      </c>
      <c r="E152" s="12" t="s">
        <v>193</v>
      </c>
      <c r="F152" s="34">
        <f t="shared" si="87"/>
        <v>39</v>
      </c>
      <c r="G152" s="35">
        <f t="shared" si="88"/>
        <v>26</v>
      </c>
      <c r="H152" s="23">
        <f t="shared" si="77"/>
        <v>25.22</v>
      </c>
      <c r="I152" s="24">
        <f t="shared" si="77"/>
        <v>24.7</v>
      </c>
      <c r="J152" s="25">
        <f t="shared" si="77"/>
        <v>24.439999999999998</v>
      </c>
      <c r="L152" s="76">
        <v>38</v>
      </c>
      <c r="M152" s="99">
        <f t="shared" si="83"/>
        <v>39</v>
      </c>
      <c r="N152" s="76">
        <v>25</v>
      </c>
      <c r="O152" s="99">
        <f t="shared" si="84"/>
        <v>26</v>
      </c>
      <c r="P152" s="188"/>
      <c r="Q152" s="94" t="s">
        <v>335</v>
      </c>
      <c r="R152" s="95">
        <v>14.12</v>
      </c>
      <c r="S152" s="95"/>
      <c r="T152" s="95"/>
      <c r="U152" s="95">
        <f t="shared" si="80"/>
        <v>14.12</v>
      </c>
      <c r="V152" s="95"/>
      <c r="W152" s="95">
        <f t="shared" si="81"/>
        <v>14.12</v>
      </c>
      <c r="X152" s="197">
        <f t="shared" si="82"/>
        <v>0.76</v>
      </c>
      <c r="Y152" s="95">
        <v>0.52</v>
      </c>
      <c r="AC152" s="95">
        <v>0.75</v>
      </c>
    </row>
    <row r="153" spans="1:29" x14ac:dyDescent="0.2">
      <c r="A153" s="212" t="s">
        <v>631</v>
      </c>
      <c r="C153" s="131"/>
      <c r="D153" s="6" t="s">
        <v>133</v>
      </c>
      <c r="E153" s="12" t="s">
        <v>193</v>
      </c>
      <c r="F153" s="34">
        <f t="shared" si="87"/>
        <v>450</v>
      </c>
      <c r="G153" s="35">
        <f t="shared" si="88"/>
        <v>300</v>
      </c>
      <c r="H153" s="23">
        <f t="shared" si="77"/>
        <v>291</v>
      </c>
      <c r="I153" s="24">
        <f t="shared" si="77"/>
        <v>285</v>
      </c>
      <c r="J153" s="25">
        <f t="shared" si="77"/>
        <v>282</v>
      </c>
      <c r="L153" s="76">
        <v>425</v>
      </c>
      <c r="M153" s="99">
        <f t="shared" si="83"/>
        <v>450</v>
      </c>
      <c r="N153" s="76">
        <v>283</v>
      </c>
      <c r="O153" s="99">
        <f t="shared" si="84"/>
        <v>300</v>
      </c>
      <c r="P153" s="88"/>
      <c r="Q153" s="94" t="s">
        <v>335</v>
      </c>
      <c r="R153" s="95">
        <v>262.38</v>
      </c>
      <c r="S153" s="95"/>
      <c r="T153" s="95"/>
      <c r="U153" s="95">
        <f t="shared" si="80"/>
        <v>262.38</v>
      </c>
      <c r="V153" s="95"/>
      <c r="W153" s="95">
        <f t="shared" si="81"/>
        <v>262.38</v>
      </c>
      <c r="X153" s="197">
        <f t="shared" si="82"/>
        <v>0.11</v>
      </c>
      <c r="Y153" s="95">
        <v>0.5</v>
      </c>
      <c r="AC153" s="95">
        <v>0.1</v>
      </c>
    </row>
    <row r="154" spans="1:29" x14ac:dyDescent="0.2">
      <c r="A154" s="205" t="s">
        <v>634</v>
      </c>
      <c r="C154" s="150"/>
      <c r="D154" s="6" t="s">
        <v>134</v>
      </c>
      <c r="E154" s="12" t="s">
        <v>194</v>
      </c>
      <c r="F154" s="34">
        <f t="shared" ref="F154:F155" si="90">+L154</f>
        <v>79</v>
      </c>
      <c r="G154" s="35">
        <f t="shared" ref="G154:G155" si="91">+N154</f>
        <v>60</v>
      </c>
      <c r="H154" s="23">
        <f t="shared" si="77"/>
        <v>58.199999999999996</v>
      </c>
      <c r="I154" s="24">
        <f t="shared" si="77"/>
        <v>57</v>
      </c>
      <c r="J154" s="25">
        <f t="shared" si="77"/>
        <v>56.4</v>
      </c>
      <c r="L154" s="99">
        <v>79</v>
      </c>
      <c r="M154" s="182">
        <f t="shared" si="83"/>
        <v>79</v>
      </c>
      <c r="N154" s="99">
        <v>60</v>
      </c>
      <c r="O154" s="182">
        <f t="shared" si="84"/>
        <v>61</v>
      </c>
      <c r="P154" s="88"/>
      <c r="Q154" s="94" t="s">
        <v>311</v>
      </c>
      <c r="R154" s="95">
        <v>39</v>
      </c>
      <c r="S154" s="95"/>
      <c r="T154" s="95"/>
      <c r="U154" s="95">
        <f t="shared" si="80"/>
        <v>39</v>
      </c>
      <c r="V154" s="95"/>
      <c r="W154" s="95">
        <f t="shared" si="81"/>
        <v>39</v>
      </c>
      <c r="X154" s="197">
        <f t="shared" si="82"/>
        <v>0.51</v>
      </c>
      <c r="Y154" s="95">
        <v>0.31</v>
      </c>
      <c r="AC154" s="95">
        <v>0.5</v>
      </c>
    </row>
    <row r="155" spans="1:29" x14ac:dyDescent="0.2">
      <c r="A155" s="210" t="s">
        <v>633</v>
      </c>
      <c r="C155" s="116"/>
      <c r="D155" s="6" t="s">
        <v>135</v>
      </c>
      <c r="E155" s="12" t="s">
        <v>195</v>
      </c>
      <c r="F155" s="34">
        <f t="shared" si="90"/>
        <v>5</v>
      </c>
      <c r="G155" s="35">
        <f t="shared" si="91"/>
        <v>4</v>
      </c>
      <c r="H155" s="23">
        <f t="shared" si="77"/>
        <v>3.88</v>
      </c>
      <c r="I155" s="24">
        <f t="shared" si="77"/>
        <v>3.8</v>
      </c>
      <c r="J155" s="25">
        <f t="shared" si="77"/>
        <v>3.76</v>
      </c>
      <c r="L155" s="99">
        <v>5</v>
      </c>
      <c r="M155" s="182"/>
      <c r="N155" s="99">
        <v>4</v>
      </c>
      <c r="O155" s="182"/>
      <c r="P155" s="88"/>
      <c r="Q155" s="94"/>
      <c r="R155" s="95"/>
      <c r="S155" s="95"/>
      <c r="T155" s="95"/>
      <c r="U155" s="95">
        <f t="shared" si="80"/>
        <v>0</v>
      </c>
      <c r="V155" s="95"/>
      <c r="W155" s="95">
        <f t="shared" si="81"/>
        <v>0</v>
      </c>
      <c r="X155" s="95"/>
      <c r="Y155" s="95"/>
      <c r="AC155" s="95"/>
    </row>
    <row r="156" spans="1:29" x14ac:dyDescent="0.2">
      <c r="A156" s="212" t="s">
        <v>636</v>
      </c>
      <c r="B156" s="60"/>
      <c r="C156" s="131"/>
      <c r="D156" s="69" t="s">
        <v>136</v>
      </c>
      <c r="E156" s="12" t="s">
        <v>194</v>
      </c>
      <c r="F156" s="34">
        <f t="shared" ref="F156" si="92">+M156</f>
        <v>91</v>
      </c>
      <c r="G156" s="35">
        <f t="shared" ref="G156" si="93">+O156</f>
        <v>70</v>
      </c>
      <c r="H156" s="23">
        <f t="shared" si="77"/>
        <v>67.899999999999991</v>
      </c>
      <c r="I156" s="24">
        <f t="shared" si="77"/>
        <v>66.5</v>
      </c>
      <c r="J156" s="25">
        <f t="shared" si="77"/>
        <v>65.8</v>
      </c>
      <c r="L156" s="76">
        <v>96</v>
      </c>
      <c r="M156" s="99">
        <f t="shared" si="83"/>
        <v>91</v>
      </c>
      <c r="N156" s="76">
        <v>74</v>
      </c>
      <c r="O156" s="99">
        <f t="shared" si="84"/>
        <v>70</v>
      </c>
      <c r="P156" s="88"/>
      <c r="Q156" s="94" t="s">
        <v>311</v>
      </c>
      <c r="R156" s="95">
        <v>45</v>
      </c>
      <c r="S156" s="95"/>
      <c r="T156" s="95"/>
      <c r="U156" s="95">
        <f t="shared" si="80"/>
        <v>45</v>
      </c>
      <c r="V156" s="95"/>
      <c r="W156" s="95">
        <f t="shared" si="81"/>
        <v>45</v>
      </c>
      <c r="X156" s="197">
        <f>+AC156+$AD$142</f>
        <v>0.51</v>
      </c>
      <c r="Y156" s="95">
        <v>0.3</v>
      </c>
      <c r="AC156" s="95">
        <v>0.5</v>
      </c>
    </row>
    <row r="157" spans="1:29" x14ac:dyDescent="0.2">
      <c r="A157" s="58" t="s">
        <v>638</v>
      </c>
      <c r="B157" s="60"/>
      <c r="C157" s="60"/>
      <c r="D157" s="69" t="s">
        <v>154</v>
      </c>
      <c r="E157" s="12" t="s">
        <v>188</v>
      </c>
      <c r="F157" s="34">
        <f t="shared" ref="F157" si="94">+L157</f>
        <v>70</v>
      </c>
      <c r="G157" s="35">
        <f t="shared" ref="G157" si="95">+N157</f>
        <v>54</v>
      </c>
      <c r="H157" s="23">
        <f>$G157*(1-H$1)</f>
        <v>52.379999999999995</v>
      </c>
      <c r="I157" s="24">
        <f>$G157*(1-I$1)</f>
        <v>51.3</v>
      </c>
      <c r="J157" s="25">
        <f>$G157*(1-J$1)</f>
        <v>50.76</v>
      </c>
      <c r="L157" s="99">
        <v>70</v>
      </c>
      <c r="M157" s="182">
        <f t="shared" si="83"/>
        <v>71</v>
      </c>
      <c r="N157" s="99">
        <v>54</v>
      </c>
      <c r="O157" s="182">
        <f t="shared" si="84"/>
        <v>54</v>
      </c>
      <c r="P157" s="88"/>
      <c r="Q157" s="94" t="s">
        <v>327</v>
      </c>
      <c r="R157" s="95">
        <v>35</v>
      </c>
      <c r="S157" s="95"/>
      <c r="T157" s="95"/>
      <c r="U157" s="95">
        <f t="shared" si="80"/>
        <v>35</v>
      </c>
      <c r="V157" s="95"/>
      <c r="W157" s="95">
        <f t="shared" si="81"/>
        <v>35</v>
      </c>
      <c r="X157" s="197">
        <f>+AC157+$AD$142</f>
        <v>0.51</v>
      </c>
      <c r="Y157" s="95">
        <v>0.3</v>
      </c>
      <c r="AC157" s="95">
        <v>0.5</v>
      </c>
    </row>
    <row r="158" spans="1:29" x14ac:dyDescent="0.2">
      <c r="A158" s="14"/>
      <c r="B158" s="20"/>
      <c r="C158" s="20"/>
      <c r="D158" s="2" t="s">
        <v>137</v>
      </c>
      <c r="E158" s="14"/>
      <c r="F158" s="48"/>
      <c r="G158" s="48"/>
      <c r="H158" s="48"/>
      <c r="I158" s="48"/>
      <c r="J158" s="48"/>
      <c r="L158" s="78"/>
      <c r="M158" s="182"/>
      <c r="N158" s="78"/>
      <c r="O158" s="182"/>
      <c r="P158" s="88"/>
      <c r="U158" s="1">
        <f t="shared" si="80"/>
        <v>0</v>
      </c>
      <c r="W158" s="1">
        <f t="shared" si="81"/>
        <v>0</v>
      </c>
    </row>
    <row r="159" spans="1:29" x14ac:dyDescent="0.2">
      <c r="A159" s="207" t="s">
        <v>614</v>
      </c>
      <c r="B159" s="61"/>
      <c r="C159" s="118"/>
      <c r="D159" s="8" t="s">
        <v>138</v>
      </c>
      <c r="E159" s="15" t="s">
        <v>188</v>
      </c>
      <c r="F159" s="34">
        <f t="shared" ref="F159:F161" si="96">+M159</f>
        <v>24.84</v>
      </c>
      <c r="G159" s="35">
        <f t="shared" ref="G159:G161" si="97">+O159</f>
        <v>20.7</v>
      </c>
      <c r="H159" s="23">
        <f t="shared" ref="H159:J174" si="98">$G159*(1-H$1)</f>
        <v>20.078999999999997</v>
      </c>
      <c r="I159" s="24">
        <f t="shared" si="98"/>
        <v>19.664999999999999</v>
      </c>
      <c r="J159" s="25">
        <f t="shared" si="98"/>
        <v>19.457999999999998</v>
      </c>
      <c r="L159" s="79">
        <v>24.84</v>
      </c>
      <c r="M159" s="99">
        <v>24.84</v>
      </c>
      <c r="N159" s="79">
        <v>20.7</v>
      </c>
      <c r="O159" s="99">
        <v>20.7</v>
      </c>
      <c r="P159" s="88"/>
      <c r="Q159" s="94" t="s">
        <v>336</v>
      </c>
      <c r="R159" s="95"/>
      <c r="S159" s="95"/>
      <c r="T159" s="95"/>
      <c r="U159" s="95">
        <f t="shared" si="80"/>
        <v>0</v>
      </c>
      <c r="V159" s="95"/>
      <c r="W159" s="95">
        <f t="shared" si="81"/>
        <v>0</v>
      </c>
      <c r="X159" s="197">
        <f t="shared" ref="X159:X174" si="99">+AC159+$AD$142</f>
        <v>0.39</v>
      </c>
      <c r="Y159" s="95">
        <v>0.31</v>
      </c>
      <c r="AC159" s="95">
        <v>0.38</v>
      </c>
    </row>
    <row r="160" spans="1:29" x14ac:dyDescent="0.2">
      <c r="A160" s="205" t="s">
        <v>637</v>
      </c>
      <c r="C160" s="131"/>
      <c r="D160" s="8" t="s">
        <v>208</v>
      </c>
      <c r="E160" s="15" t="s">
        <v>193</v>
      </c>
      <c r="F160" s="34">
        <f t="shared" si="96"/>
        <v>309</v>
      </c>
      <c r="G160" s="35">
        <f t="shared" si="97"/>
        <v>233</v>
      </c>
      <c r="H160" s="23">
        <f t="shared" si="98"/>
        <v>226.01</v>
      </c>
      <c r="I160" s="24">
        <f t="shared" si="98"/>
        <v>221.35</v>
      </c>
      <c r="J160" s="25">
        <f t="shared" si="98"/>
        <v>219.01999999999998</v>
      </c>
      <c r="L160" s="79">
        <v>328</v>
      </c>
      <c r="M160" s="99">
        <f t="shared" si="83"/>
        <v>309</v>
      </c>
      <c r="N160" s="79">
        <v>247</v>
      </c>
      <c r="O160" s="99">
        <f t="shared" si="84"/>
        <v>233</v>
      </c>
      <c r="P160" s="88"/>
      <c r="Q160" s="94" t="s">
        <v>335</v>
      </c>
      <c r="R160" s="95">
        <v>163.22</v>
      </c>
      <c r="S160" s="95"/>
      <c r="T160" s="95"/>
      <c r="U160" s="95">
        <f t="shared" si="80"/>
        <v>163.22</v>
      </c>
      <c r="V160" s="95"/>
      <c r="W160" s="95">
        <f t="shared" si="81"/>
        <v>163.22</v>
      </c>
      <c r="X160" s="197">
        <f t="shared" si="99"/>
        <v>0.38700000000000001</v>
      </c>
      <c r="Y160" s="95">
        <v>0.32500000000000001</v>
      </c>
      <c r="AC160" s="95">
        <v>0.377</v>
      </c>
    </row>
    <row r="161" spans="1:29" x14ac:dyDescent="0.2">
      <c r="A161" s="212" t="s">
        <v>615</v>
      </c>
      <c r="C161" s="131"/>
      <c r="D161" s="214" t="s">
        <v>488</v>
      </c>
      <c r="E161" s="12" t="s">
        <v>188</v>
      </c>
      <c r="F161" s="34">
        <f t="shared" si="96"/>
        <v>14</v>
      </c>
      <c r="G161" s="35">
        <f t="shared" si="97"/>
        <v>11</v>
      </c>
      <c r="H161" s="23">
        <f t="shared" si="98"/>
        <v>10.67</v>
      </c>
      <c r="I161" s="24">
        <f t="shared" si="98"/>
        <v>10.45</v>
      </c>
      <c r="J161" s="25">
        <f t="shared" si="98"/>
        <v>10.34</v>
      </c>
      <c r="L161" s="79"/>
      <c r="M161" s="99">
        <f t="shared" si="83"/>
        <v>14</v>
      </c>
      <c r="N161" s="79"/>
      <c r="O161" s="99">
        <f t="shared" si="84"/>
        <v>11</v>
      </c>
      <c r="P161" s="88"/>
      <c r="Q161" s="94" t="s">
        <v>335</v>
      </c>
      <c r="R161" s="95">
        <v>6.21</v>
      </c>
      <c r="S161" s="95"/>
      <c r="T161" s="95"/>
      <c r="U161" s="95">
        <f t="shared" si="80"/>
        <v>6.21</v>
      </c>
      <c r="V161" s="95"/>
      <c r="W161" s="95">
        <f t="shared" si="81"/>
        <v>6.21</v>
      </c>
      <c r="X161" s="197">
        <f t="shared" si="99"/>
        <v>0.69000000000000006</v>
      </c>
      <c r="Y161" s="95">
        <v>0.3</v>
      </c>
      <c r="AC161" s="95">
        <v>0.68</v>
      </c>
    </row>
    <row r="162" spans="1:29" hidden="1" x14ac:dyDescent="0.2">
      <c r="A162" s="212" t="s">
        <v>616</v>
      </c>
      <c r="B162" s="202"/>
      <c r="C162" s="16"/>
      <c r="D162" s="6" t="s">
        <v>139</v>
      </c>
      <c r="E162" s="12" t="s">
        <v>188</v>
      </c>
      <c r="F162" s="34">
        <f t="shared" ref="F162:F163" si="100">+L162</f>
        <v>14</v>
      </c>
      <c r="G162" s="35">
        <f t="shared" ref="G162:G163" si="101">+N162</f>
        <v>10</v>
      </c>
      <c r="H162" s="23">
        <f t="shared" si="98"/>
        <v>9.6999999999999993</v>
      </c>
      <c r="I162" s="24">
        <f t="shared" si="98"/>
        <v>9.5</v>
      </c>
      <c r="J162" s="25">
        <f t="shared" si="98"/>
        <v>9.3999999999999986</v>
      </c>
      <c r="L162" s="101">
        <v>14</v>
      </c>
      <c r="M162" s="182">
        <f t="shared" si="83"/>
        <v>0</v>
      </c>
      <c r="N162" s="101">
        <v>10</v>
      </c>
      <c r="O162" s="182">
        <f t="shared" si="84"/>
        <v>0</v>
      </c>
      <c r="P162" s="88"/>
      <c r="Q162" s="94" t="s">
        <v>335</v>
      </c>
      <c r="R162" s="95" t="s">
        <v>458</v>
      </c>
      <c r="S162" s="95"/>
      <c r="T162" s="95"/>
      <c r="U162" s="95">
        <f t="shared" si="80"/>
        <v>0</v>
      </c>
      <c r="V162" s="95"/>
      <c r="W162" s="95">
        <f t="shared" si="81"/>
        <v>0</v>
      </c>
      <c r="X162" s="197">
        <f t="shared" si="99"/>
        <v>0.69000000000000006</v>
      </c>
      <c r="Y162" s="95">
        <v>0.3</v>
      </c>
      <c r="AC162" s="95">
        <v>0.68</v>
      </c>
    </row>
    <row r="163" spans="1:29" x14ac:dyDescent="0.2">
      <c r="A163" s="212" t="s">
        <v>617</v>
      </c>
      <c r="C163" s="131"/>
      <c r="D163" s="6" t="s">
        <v>141</v>
      </c>
      <c r="E163" s="12" t="s">
        <v>194</v>
      </c>
      <c r="F163" s="34">
        <f t="shared" si="100"/>
        <v>102</v>
      </c>
      <c r="G163" s="35">
        <f t="shared" si="101"/>
        <v>70</v>
      </c>
      <c r="H163" s="23">
        <f t="shared" si="98"/>
        <v>67.899999999999991</v>
      </c>
      <c r="I163" s="24">
        <f t="shared" si="98"/>
        <v>66.5</v>
      </c>
      <c r="J163" s="25">
        <f t="shared" si="98"/>
        <v>65.8</v>
      </c>
      <c r="L163" s="99">
        <v>102</v>
      </c>
      <c r="M163" s="182">
        <f t="shared" si="83"/>
        <v>0</v>
      </c>
      <c r="N163" s="99">
        <v>70</v>
      </c>
      <c r="O163" s="182">
        <f t="shared" si="84"/>
        <v>0</v>
      </c>
      <c r="P163" s="88"/>
      <c r="Q163" s="185" t="s">
        <v>335</v>
      </c>
      <c r="R163" s="186" t="s">
        <v>455</v>
      </c>
      <c r="S163" s="95"/>
      <c r="T163" s="95"/>
      <c r="U163" s="95">
        <f t="shared" si="80"/>
        <v>0</v>
      </c>
      <c r="V163" s="95"/>
      <c r="W163" s="95">
        <f t="shared" si="81"/>
        <v>0</v>
      </c>
      <c r="X163" s="197">
        <f t="shared" si="99"/>
        <v>0.46</v>
      </c>
      <c r="Y163" s="95">
        <v>0.46</v>
      </c>
      <c r="AC163" s="95">
        <v>0.45</v>
      </c>
    </row>
    <row r="164" spans="1:29" x14ac:dyDescent="0.2">
      <c r="A164" s="212" t="s">
        <v>618</v>
      </c>
      <c r="B164" s="61"/>
      <c r="C164" s="131"/>
      <c r="D164" s="6" t="s">
        <v>147</v>
      </c>
      <c r="E164" s="12" t="s">
        <v>188</v>
      </c>
      <c r="F164" s="34">
        <f t="shared" ref="F164:F166" si="102">+M164</f>
        <v>9</v>
      </c>
      <c r="G164" s="35">
        <f t="shared" ref="G164:G166" si="103">+O164</f>
        <v>7</v>
      </c>
      <c r="H164" s="23">
        <f t="shared" si="98"/>
        <v>6.79</v>
      </c>
      <c r="I164" s="24">
        <f t="shared" si="98"/>
        <v>6.6499999999999995</v>
      </c>
      <c r="J164" s="25">
        <f t="shared" si="98"/>
        <v>6.58</v>
      </c>
      <c r="L164" s="76">
        <v>9</v>
      </c>
      <c r="M164" s="99">
        <f t="shared" si="83"/>
        <v>9</v>
      </c>
      <c r="N164" s="76">
        <v>6</v>
      </c>
      <c r="O164" s="99">
        <f t="shared" si="84"/>
        <v>7</v>
      </c>
      <c r="P164" s="188"/>
      <c r="Q164" s="94" t="s">
        <v>335</v>
      </c>
      <c r="R164" s="95">
        <v>3.96</v>
      </c>
      <c r="S164" s="95"/>
      <c r="T164" s="95"/>
      <c r="U164" s="95">
        <f t="shared" si="80"/>
        <v>3.96</v>
      </c>
      <c r="V164" s="95"/>
      <c r="W164" s="95">
        <f t="shared" si="81"/>
        <v>3.96</v>
      </c>
      <c r="X164" s="197">
        <f t="shared" si="99"/>
        <v>0.61</v>
      </c>
      <c r="Y164" s="95">
        <v>0.4</v>
      </c>
      <c r="AC164" s="95">
        <v>0.6</v>
      </c>
    </row>
    <row r="165" spans="1:29" x14ac:dyDescent="0.2">
      <c r="A165" s="212" t="s">
        <v>619</v>
      </c>
      <c r="C165" s="131"/>
      <c r="D165" s="6" t="s">
        <v>148</v>
      </c>
      <c r="E165" s="12" t="s">
        <v>188</v>
      </c>
      <c r="F165" s="34">
        <f t="shared" si="102"/>
        <v>16</v>
      </c>
      <c r="G165" s="35">
        <f t="shared" si="103"/>
        <v>12</v>
      </c>
      <c r="H165" s="23">
        <f t="shared" si="98"/>
        <v>11.64</v>
      </c>
      <c r="I165" s="24">
        <f t="shared" si="98"/>
        <v>11.399999999999999</v>
      </c>
      <c r="J165" s="25">
        <f t="shared" si="98"/>
        <v>11.28</v>
      </c>
      <c r="L165" s="76">
        <v>17</v>
      </c>
      <c r="M165" s="99">
        <f t="shared" si="83"/>
        <v>16</v>
      </c>
      <c r="N165" s="76">
        <v>12</v>
      </c>
      <c r="O165" s="99">
        <f t="shared" si="84"/>
        <v>12</v>
      </c>
      <c r="P165" s="188"/>
      <c r="Q165" s="94" t="s">
        <v>335</v>
      </c>
      <c r="R165" s="95">
        <v>6.97</v>
      </c>
      <c r="S165" s="95"/>
      <c r="T165" s="95"/>
      <c r="U165" s="95">
        <f t="shared" si="80"/>
        <v>6.97</v>
      </c>
      <c r="V165" s="95"/>
      <c r="W165" s="95">
        <f t="shared" si="81"/>
        <v>6.97</v>
      </c>
      <c r="X165" s="197">
        <f t="shared" si="99"/>
        <v>0.61</v>
      </c>
      <c r="Y165" s="95">
        <v>0.4</v>
      </c>
      <c r="AC165" s="95">
        <v>0.6</v>
      </c>
    </row>
    <row r="166" spans="1:29" x14ac:dyDescent="0.2">
      <c r="A166" s="212" t="s">
        <v>620</v>
      </c>
      <c r="C166" s="131"/>
      <c r="D166" s="6" t="s">
        <v>149</v>
      </c>
      <c r="E166" s="12" t="s">
        <v>188</v>
      </c>
      <c r="F166" s="34">
        <f t="shared" si="102"/>
        <v>25</v>
      </c>
      <c r="G166" s="35">
        <f t="shared" si="103"/>
        <v>17</v>
      </c>
      <c r="H166" s="23">
        <f t="shared" si="98"/>
        <v>16.489999999999998</v>
      </c>
      <c r="I166" s="24">
        <f t="shared" si="98"/>
        <v>16.149999999999999</v>
      </c>
      <c r="J166" s="25">
        <f t="shared" si="98"/>
        <v>15.979999999999999</v>
      </c>
      <c r="L166" s="76">
        <v>25</v>
      </c>
      <c r="M166" s="99">
        <f t="shared" si="83"/>
        <v>25</v>
      </c>
      <c r="N166" s="76">
        <v>16</v>
      </c>
      <c r="O166" s="99">
        <f t="shared" si="84"/>
        <v>17</v>
      </c>
      <c r="P166" s="188"/>
      <c r="Q166" s="94" t="s">
        <v>335</v>
      </c>
      <c r="R166" s="95">
        <v>9.9499999999999993</v>
      </c>
      <c r="S166" s="95"/>
      <c r="T166" s="95"/>
      <c r="U166" s="95">
        <f t="shared" si="80"/>
        <v>9.9499999999999993</v>
      </c>
      <c r="V166" s="95"/>
      <c r="W166" s="95">
        <f t="shared" si="81"/>
        <v>9.9499999999999993</v>
      </c>
      <c r="X166" s="197">
        <f t="shared" si="99"/>
        <v>0.61</v>
      </c>
      <c r="Y166" s="95">
        <v>0.5</v>
      </c>
      <c r="AC166" s="95">
        <v>0.6</v>
      </c>
    </row>
    <row r="167" spans="1:29" x14ac:dyDescent="0.2">
      <c r="A167" s="208" t="s">
        <v>661</v>
      </c>
      <c r="C167" s="116"/>
      <c r="D167" s="6" t="s">
        <v>150</v>
      </c>
      <c r="E167" s="12" t="s">
        <v>188</v>
      </c>
      <c r="F167" s="34">
        <f>+M167</f>
        <v>173</v>
      </c>
      <c r="G167" s="35">
        <f>+O167</f>
        <v>118</v>
      </c>
      <c r="H167" s="23">
        <f t="shared" si="98"/>
        <v>114.46</v>
      </c>
      <c r="I167" s="24">
        <f t="shared" si="98"/>
        <v>112.1</v>
      </c>
      <c r="J167" s="25">
        <f t="shared" si="98"/>
        <v>110.91999999999999</v>
      </c>
      <c r="L167" s="76">
        <v>172</v>
      </c>
      <c r="M167" s="99">
        <f t="shared" si="83"/>
        <v>173</v>
      </c>
      <c r="N167" s="76">
        <v>118</v>
      </c>
      <c r="O167" s="99">
        <f t="shared" si="84"/>
        <v>118</v>
      </c>
      <c r="P167" s="88"/>
      <c r="Q167" s="94" t="s">
        <v>337</v>
      </c>
      <c r="R167" s="95">
        <v>89</v>
      </c>
      <c r="S167" s="95"/>
      <c r="T167" s="95"/>
      <c r="U167" s="95">
        <f t="shared" si="80"/>
        <v>89</v>
      </c>
      <c r="V167" s="95"/>
      <c r="W167" s="95">
        <f t="shared" si="81"/>
        <v>89</v>
      </c>
      <c r="X167" s="197">
        <f t="shared" si="99"/>
        <v>0.29000000000000004</v>
      </c>
      <c r="Y167" s="95">
        <v>0.46</v>
      </c>
      <c r="AC167" s="95">
        <v>0.28000000000000003</v>
      </c>
    </row>
    <row r="168" spans="1:29" hidden="1" x14ac:dyDescent="0.2">
      <c r="A168" s="210" t="s">
        <v>659</v>
      </c>
      <c r="C168" s="116"/>
      <c r="D168" s="6" t="s">
        <v>152</v>
      </c>
      <c r="E168" s="12" t="s">
        <v>188</v>
      </c>
      <c r="F168" s="34">
        <f>+M168</f>
        <v>242</v>
      </c>
      <c r="G168" s="35">
        <f>+O168</f>
        <v>174</v>
      </c>
      <c r="H168" s="23">
        <f t="shared" si="98"/>
        <v>168.78</v>
      </c>
      <c r="I168" s="24">
        <f t="shared" si="98"/>
        <v>165.29999999999998</v>
      </c>
      <c r="J168" s="25">
        <f t="shared" si="98"/>
        <v>163.56</v>
      </c>
      <c r="L168" s="76">
        <v>324</v>
      </c>
      <c r="M168" s="99">
        <f t="shared" si="83"/>
        <v>242</v>
      </c>
      <c r="N168" s="76">
        <v>233</v>
      </c>
      <c r="O168" s="99">
        <f t="shared" si="84"/>
        <v>174</v>
      </c>
      <c r="P168" s="88"/>
      <c r="Q168" s="94" t="s">
        <v>337</v>
      </c>
      <c r="R168" s="95">
        <v>125</v>
      </c>
      <c r="S168" s="95"/>
      <c r="T168" s="95"/>
      <c r="U168" s="95">
        <f t="shared" si="80"/>
        <v>125</v>
      </c>
      <c r="V168" s="95"/>
      <c r="W168" s="95">
        <f t="shared" si="81"/>
        <v>125</v>
      </c>
      <c r="X168" s="197">
        <f t="shared" si="99"/>
        <v>0.35499999999999998</v>
      </c>
      <c r="Y168" s="95">
        <v>0.39</v>
      </c>
      <c r="AC168" s="95">
        <v>0.34499999999999997</v>
      </c>
    </row>
    <row r="169" spans="1:29" hidden="1" x14ac:dyDescent="0.2">
      <c r="A169" s="210" t="s">
        <v>658</v>
      </c>
      <c r="C169" s="116"/>
      <c r="D169" s="6" t="s">
        <v>153</v>
      </c>
      <c r="E169" s="12" t="s">
        <v>188</v>
      </c>
      <c r="F169" s="34">
        <f>+M169</f>
        <v>81</v>
      </c>
      <c r="G169" s="35">
        <f>+O169</f>
        <v>56</v>
      </c>
      <c r="H169" s="23">
        <f t="shared" si="98"/>
        <v>54.32</v>
      </c>
      <c r="I169" s="24">
        <f t="shared" si="98"/>
        <v>53.199999999999996</v>
      </c>
      <c r="J169" s="25">
        <f t="shared" si="98"/>
        <v>52.64</v>
      </c>
      <c r="L169" s="76">
        <v>113</v>
      </c>
      <c r="M169" s="99">
        <f t="shared" si="83"/>
        <v>81</v>
      </c>
      <c r="N169" s="76">
        <v>78</v>
      </c>
      <c r="O169" s="99">
        <f t="shared" si="84"/>
        <v>56</v>
      </c>
      <c r="P169" s="88"/>
      <c r="Q169" s="94" t="s">
        <v>337</v>
      </c>
      <c r="R169" s="95">
        <v>42</v>
      </c>
      <c r="S169" s="95"/>
      <c r="T169" s="95"/>
      <c r="U169" s="95">
        <f t="shared" si="80"/>
        <v>42</v>
      </c>
      <c r="V169" s="95"/>
      <c r="W169" s="95">
        <f t="shared" si="81"/>
        <v>42</v>
      </c>
      <c r="X169" s="197">
        <f t="shared" si="99"/>
        <v>0.29000000000000004</v>
      </c>
      <c r="Y169" s="95">
        <v>0.44800000000000001</v>
      </c>
      <c r="AC169" s="95">
        <v>0.28000000000000003</v>
      </c>
    </row>
    <row r="170" spans="1:29" x14ac:dyDescent="0.2">
      <c r="A170" s="210" t="s">
        <v>660</v>
      </c>
      <c r="C170" s="116"/>
      <c r="D170" s="6" t="s">
        <v>151</v>
      </c>
      <c r="E170" s="12" t="s">
        <v>188</v>
      </c>
      <c r="F170" s="34">
        <f>+M170</f>
        <v>218</v>
      </c>
      <c r="G170" s="35">
        <f>+O170</f>
        <v>151</v>
      </c>
      <c r="H170" s="23">
        <f t="shared" si="98"/>
        <v>146.47</v>
      </c>
      <c r="I170" s="24">
        <f t="shared" si="98"/>
        <v>143.44999999999999</v>
      </c>
      <c r="J170" s="25">
        <f t="shared" si="98"/>
        <v>141.94</v>
      </c>
      <c r="L170" s="76">
        <v>238</v>
      </c>
      <c r="M170" s="99">
        <f t="shared" si="83"/>
        <v>218</v>
      </c>
      <c r="N170" s="76">
        <v>164</v>
      </c>
      <c r="O170" s="99">
        <f t="shared" si="84"/>
        <v>151</v>
      </c>
      <c r="P170" s="88"/>
      <c r="Q170" s="94" t="s">
        <v>337</v>
      </c>
      <c r="R170" s="95">
        <v>112</v>
      </c>
      <c r="S170" s="95"/>
      <c r="T170" s="95"/>
      <c r="U170" s="95">
        <f t="shared" si="80"/>
        <v>112</v>
      </c>
      <c r="V170" s="95"/>
      <c r="W170" s="95">
        <f t="shared" si="81"/>
        <v>112</v>
      </c>
      <c r="X170" s="197">
        <f t="shared" si="99"/>
        <v>0.30499999999999999</v>
      </c>
      <c r="Y170" s="95">
        <v>0.45</v>
      </c>
      <c r="AC170" s="95">
        <v>0.29499999999999998</v>
      </c>
    </row>
    <row r="171" spans="1:29" x14ac:dyDescent="0.2">
      <c r="A171" s="210" t="s">
        <v>624</v>
      </c>
      <c r="C171" s="116"/>
      <c r="D171" s="6" t="s">
        <v>201</v>
      </c>
      <c r="E171" s="12" t="s">
        <v>196</v>
      </c>
      <c r="F171" s="34">
        <f t="shared" ref="F171:F174" si="104">+M171</f>
        <v>38.61</v>
      </c>
      <c r="G171" s="35">
        <f t="shared" ref="G171:G174" si="105">+O171</f>
        <v>32.18</v>
      </c>
      <c r="H171" s="23">
        <f t="shared" si="98"/>
        <v>31.214599999999997</v>
      </c>
      <c r="I171" s="24">
        <f t="shared" si="98"/>
        <v>30.570999999999998</v>
      </c>
      <c r="J171" s="25">
        <f t="shared" si="98"/>
        <v>30.249199999999998</v>
      </c>
      <c r="L171" s="76">
        <v>37.380000000000003</v>
      </c>
      <c r="M171" s="99">
        <v>38.61</v>
      </c>
      <c r="N171" s="76">
        <v>31.15</v>
      </c>
      <c r="O171" s="99">
        <v>32.18</v>
      </c>
      <c r="P171" s="88"/>
      <c r="Q171" s="94" t="s">
        <v>336</v>
      </c>
      <c r="R171" s="95"/>
      <c r="S171" s="95"/>
      <c r="T171" s="95"/>
      <c r="U171" s="95">
        <f t="shared" si="80"/>
        <v>0</v>
      </c>
      <c r="V171" s="95"/>
      <c r="W171" s="95">
        <f t="shared" si="81"/>
        <v>0</v>
      </c>
      <c r="X171" s="197">
        <f t="shared" si="99"/>
        <v>0.66</v>
      </c>
      <c r="Y171" s="95">
        <v>0.40500000000000003</v>
      </c>
      <c r="AC171" s="95">
        <v>0.65</v>
      </c>
    </row>
    <row r="172" spans="1:29" x14ac:dyDescent="0.2">
      <c r="A172" s="207" t="s">
        <v>623</v>
      </c>
      <c r="B172" s="61"/>
      <c r="C172" s="118"/>
      <c r="D172" s="6" t="s">
        <v>202</v>
      </c>
      <c r="E172" s="12" t="s">
        <v>196</v>
      </c>
      <c r="F172" s="34">
        <f t="shared" si="104"/>
        <v>55.14</v>
      </c>
      <c r="G172" s="35">
        <f t="shared" si="105"/>
        <v>45.95</v>
      </c>
      <c r="H172" s="23">
        <f t="shared" si="98"/>
        <v>44.5715</v>
      </c>
      <c r="I172" s="24">
        <f t="shared" si="98"/>
        <v>43.652500000000003</v>
      </c>
      <c r="J172" s="25">
        <f t="shared" si="98"/>
        <v>43.192999999999998</v>
      </c>
      <c r="L172" s="76">
        <v>53.93</v>
      </c>
      <c r="M172" s="99">
        <v>55.14</v>
      </c>
      <c r="N172" s="76">
        <v>44.94</v>
      </c>
      <c r="O172" s="99">
        <v>45.95</v>
      </c>
      <c r="P172" s="88"/>
      <c r="Q172" s="94" t="s">
        <v>336</v>
      </c>
      <c r="R172" s="95"/>
      <c r="S172" s="95"/>
      <c r="T172" s="95"/>
      <c r="U172" s="95">
        <f t="shared" si="80"/>
        <v>0</v>
      </c>
      <c r="V172" s="95"/>
      <c r="W172" s="95">
        <f t="shared" si="81"/>
        <v>0</v>
      </c>
      <c r="X172" s="197">
        <f t="shared" si="99"/>
        <v>0.71</v>
      </c>
      <c r="Y172" s="95">
        <v>0.39</v>
      </c>
      <c r="AC172" s="95">
        <v>0.7</v>
      </c>
    </row>
    <row r="173" spans="1:29" x14ac:dyDescent="0.2">
      <c r="A173" s="210" t="s">
        <v>622</v>
      </c>
      <c r="C173" s="116"/>
      <c r="D173" s="6" t="s">
        <v>203</v>
      </c>
      <c r="E173" s="12" t="s">
        <v>196</v>
      </c>
      <c r="F173" s="34">
        <f t="shared" si="104"/>
        <v>69.64</v>
      </c>
      <c r="G173" s="35">
        <f t="shared" si="105"/>
        <v>58.04</v>
      </c>
      <c r="H173" s="23">
        <f t="shared" si="98"/>
        <v>56.2988</v>
      </c>
      <c r="I173" s="24">
        <f t="shared" si="98"/>
        <v>55.137999999999998</v>
      </c>
      <c r="J173" s="25">
        <f t="shared" si="98"/>
        <v>54.557599999999994</v>
      </c>
      <c r="L173" s="76">
        <v>67.81</v>
      </c>
      <c r="M173" s="99">
        <v>69.64</v>
      </c>
      <c r="N173" s="76">
        <v>56.51</v>
      </c>
      <c r="O173" s="99">
        <v>58.04</v>
      </c>
      <c r="P173" s="88"/>
      <c r="Q173" s="94" t="s">
        <v>336</v>
      </c>
      <c r="R173" s="95"/>
      <c r="S173" s="95"/>
      <c r="T173" s="95"/>
      <c r="U173" s="95">
        <f t="shared" si="80"/>
        <v>0</v>
      </c>
      <c r="V173" s="95"/>
      <c r="W173" s="95">
        <f t="shared" si="81"/>
        <v>0</v>
      </c>
      <c r="X173" s="197">
        <f t="shared" si="99"/>
        <v>0.71</v>
      </c>
      <c r="Y173" s="95">
        <v>0.435</v>
      </c>
      <c r="AC173" s="95">
        <v>0.7</v>
      </c>
    </row>
    <row r="174" spans="1:29" x14ac:dyDescent="0.2">
      <c r="A174" s="210" t="s">
        <v>621</v>
      </c>
      <c r="C174" s="116"/>
      <c r="D174" s="6" t="s">
        <v>204</v>
      </c>
      <c r="E174" s="12" t="s">
        <v>196</v>
      </c>
      <c r="F174" s="34">
        <f t="shared" si="104"/>
        <v>31.95</v>
      </c>
      <c r="G174" s="35">
        <f t="shared" si="105"/>
        <v>26.62</v>
      </c>
      <c r="H174" s="23">
        <f t="shared" si="98"/>
        <v>25.821400000000001</v>
      </c>
      <c r="I174" s="24">
        <f t="shared" si="98"/>
        <v>25.289000000000001</v>
      </c>
      <c r="J174" s="25">
        <f t="shared" si="98"/>
        <v>25.0228</v>
      </c>
      <c r="L174" s="76">
        <v>30.52</v>
      </c>
      <c r="M174" s="99">
        <v>31.95</v>
      </c>
      <c r="N174" s="76">
        <v>25.43</v>
      </c>
      <c r="O174" s="99">
        <v>26.62</v>
      </c>
      <c r="P174" s="88"/>
      <c r="Q174" s="94" t="s">
        <v>336</v>
      </c>
      <c r="R174" s="95"/>
      <c r="S174" s="95"/>
      <c r="T174" s="95"/>
      <c r="U174" s="95">
        <f t="shared" si="80"/>
        <v>0</v>
      </c>
      <c r="V174" s="95"/>
      <c r="W174" s="95">
        <f t="shared" si="81"/>
        <v>0</v>
      </c>
      <c r="X174" s="197">
        <f t="shared" si="99"/>
        <v>0.31</v>
      </c>
      <c r="Y174" s="95">
        <v>0.2</v>
      </c>
      <c r="AC174" s="95">
        <v>0.3</v>
      </c>
    </row>
    <row r="175" spans="1:29" x14ac:dyDescent="0.2">
      <c r="A175" s="14"/>
      <c r="B175" s="20"/>
      <c r="C175" s="20"/>
      <c r="D175" s="2" t="s">
        <v>229</v>
      </c>
      <c r="E175" s="14"/>
      <c r="F175" s="48"/>
      <c r="G175" s="48"/>
      <c r="H175" s="48"/>
      <c r="I175" s="48"/>
      <c r="J175" s="48"/>
      <c r="L175" s="78"/>
      <c r="M175" s="182"/>
      <c r="N175" s="78"/>
      <c r="O175" s="182"/>
      <c r="P175" s="88"/>
      <c r="U175" s="1">
        <f t="shared" si="80"/>
        <v>0</v>
      </c>
      <c r="W175" s="1">
        <f t="shared" si="81"/>
        <v>0</v>
      </c>
    </row>
    <row r="176" spans="1:29" x14ac:dyDescent="0.2">
      <c r="A176" s="207" t="s">
        <v>647</v>
      </c>
      <c r="B176" s="61"/>
      <c r="C176" s="118"/>
      <c r="D176" s="6" t="s">
        <v>155</v>
      </c>
      <c r="E176" s="12" t="s">
        <v>188</v>
      </c>
      <c r="F176" s="34">
        <f t="shared" ref="F176:F185" si="106">+M176</f>
        <v>102.95</v>
      </c>
      <c r="G176" s="35">
        <f t="shared" ref="G176:G185" si="107">+O176</f>
        <v>66.14</v>
      </c>
      <c r="H176" s="23">
        <f t="shared" ref="H176:J187" si="108">$G176*(1-H$1)</f>
        <v>64.155799999999999</v>
      </c>
      <c r="I176" s="24">
        <f t="shared" si="108"/>
        <v>62.832999999999998</v>
      </c>
      <c r="J176" s="25">
        <f t="shared" si="108"/>
        <v>62.171599999999998</v>
      </c>
      <c r="L176" s="76">
        <v>107.65</v>
      </c>
      <c r="M176" s="99">
        <v>102.95</v>
      </c>
      <c r="N176" s="76">
        <v>69.16</v>
      </c>
      <c r="O176" s="99">
        <v>66.14</v>
      </c>
      <c r="P176" s="88"/>
      <c r="Q176" s="94" t="s">
        <v>300</v>
      </c>
      <c r="R176" s="95"/>
      <c r="S176" s="95"/>
      <c r="T176" s="95"/>
      <c r="U176" s="95">
        <f t="shared" si="80"/>
        <v>0</v>
      </c>
      <c r="V176" s="95"/>
      <c r="W176" s="95">
        <f t="shared" si="81"/>
        <v>0</v>
      </c>
      <c r="X176" s="197">
        <f t="shared" ref="X176:X185" si="109">+AC176+$AD$142</f>
        <v>0.31</v>
      </c>
      <c r="Y176" s="95">
        <v>0.6</v>
      </c>
      <c r="AC176" s="95">
        <v>0.3</v>
      </c>
    </row>
    <row r="177" spans="1:29" x14ac:dyDescent="0.2">
      <c r="A177" s="210" t="s">
        <v>646</v>
      </c>
      <c r="C177" s="116"/>
      <c r="D177" s="6" t="s">
        <v>156</v>
      </c>
      <c r="E177" s="12" t="s">
        <v>188</v>
      </c>
      <c r="F177" s="34">
        <f t="shared" si="106"/>
        <v>19.3</v>
      </c>
      <c r="G177" s="35">
        <f t="shared" si="107"/>
        <v>12.4</v>
      </c>
      <c r="H177" s="23">
        <f t="shared" si="108"/>
        <v>12.028</v>
      </c>
      <c r="I177" s="24">
        <f t="shared" si="108"/>
        <v>11.78</v>
      </c>
      <c r="J177" s="25">
        <f t="shared" si="108"/>
        <v>11.655999999999999</v>
      </c>
      <c r="L177" s="76">
        <v>31.55</v>
      </c>
      <c r="M177" s="99">
        <v>19.3</v>
      </c>
      <c r="N177" s="76">
        <v>20.27</v>
      </c>
      <c r="O177" s="99">
        <v>12.4</v>
      </c>
      <c r="P177" s="88"/>
      <c r="Q177" s="94" t="s">
        <v>300</v>
      </c>
      <c r="R177" s="95"/>
      <c r="S177" s="95"/>
      <c r="T177" s="95"/>
      <c r="U177" s="95">
        <f t="shared" si="80"/>
        <v>0</v>
      </c>
      <c r="V177" s="95"/>
      <c r="W177" s="95">
        <f t="shared" si="81"/>
        <v>0</v>
      </c>
      <c r="X177" s="197">
        <f t="shared" si="109"/>
        <v>0.31</v>
      </c>
      <c r="Y177" s="95">
        <v>0.5</v>
      </c>
      <c r="AC177" s="95">
        <v>0.3</v>
      </c>
    </row>
    <row r="178" spans="1:29" x14ac:dyDescent="0.2">
      <c r="A178" s="210" t="s">
        <v>649</v>
      </c>
      <c r="C178" s="116"/>
      <c r="D178" s="6" t="s">
        <v>157</v>
      </c>
      <c r="E178" s="12" t="s">
        <v>188</v>
      </c>
      <c r="F178" s="34">
        <f t="shared" si="106"/>
        <v>118.4</v>
      </c>
      <c r="G178" s="35">
        <f t="shared" si="107"/>
        <v>76.06</v>
      </c>
      <c r="H178" s="23">
        <f t="shared" si="108"/>
        <v>73.778199999999998</v>
      </c>
      <c r="I178" s="24">
        <f t="shared" si="108"/>
        <v>72.257000000000005</v>
      </c>
      <c r="J178" s="25">
        <f t="shared" si="108"/>
        <v>71.496399999999994</v>
      </c>
      <c r="L178" s="76">
        <v>135.69999999999999</v>
      </c>
      <c r="M178" s="99">
        <v>118.4</v>
      </c>
      <c r="N178" s="76">
        <v>87.18</v>
      </c>
      <c r="O178" s="99">
        <v>76.06</v>
      </c>
      <c r="P178" s="88"/>
      <c r="Q178" s="94" t="s">
        <v>300</v>
      </c>
      <c r="R178" s="95"/>
      <c r="S178" s="95"/>
      <c r="T178" s="95"/>
      <c r="U178" s="95">
        <f t="shared" si="80"/>
        <v>0</v>
      </c>
      <c r="V178" s="95"/>
      <c r="W178" s="95">
        <f t="shared" si="81"/>
        <v>0</v>
      </c>
      <c r="X178" s="197">
        <f t="shared" si="109"/>
        <v>0.31</v>
      </c>
      <c r="Y178" s="95">
        <v>0.6</v>
      </c>
      <c r="AC178" s="95">
        <v>0.3</v>
      </c>
    </row>
    <row r="179" spans="1:29" x14ac:dyDescent="0.2">
      <c r="A179" s="210" t="s">
        <v>648</v>
      </c>
      <c r="C179" s="116"/>
      <c r="D179" s="6" t="s">
        <v>158</v>
      </c>
      <c r="E179" s="12" t="s">
        <v>188</v>
      </c>
      <c r="F179" s="34">
        <f t="shared" si="106"/>
        <v>86.25</v>
      </c>
      <c r="G179" s="35">
        <f t="shared" si="107"/>
        <v>55.41</v>
      </c>
      <c r="H179" s="23">
        <f t="shared" si="108"/>
        <v>53.747699999999995</v>
      </c>
      <c r="I179" s="24">
        <f t="shared" si="108"/>
        <v>52.639499999999991</v>
      </c>
      <c r="J179" s="25">
        <f t="shared" si="108"/>
        <v>52.085399999999993</v>
      </c>
      <c r="L179" s="76">
        <v>93.95</v>
      </c>
      <c r="M179" s="99">
        <v>86.25</v>
      </c>
      <c r="N179" s="76">
        <v>60.35</v>
      </c>
      <c r="O179" s="99">
        <v>55.41</v>
      </c>
      <c r="P179" s="88"/>
      <c r="Q179" s="94" t="s">
        <v>300</v>
      </c>
      <c r="R179" s="95"/>
      <c r="S179" s="95"/>
      <c r="T179" s="95"/>
      <c r="U179" s="95">
        <f t="shared" si="80"/>
        <v>0</v>
      </c>
      <c r="V179" s="95"/>
      <c r="W179" s="95">
        <f t="shared" si="81"/>
        <v>0</v>
      </c>
      <c r="X179" s="197">
        <f t="shared" si="109"/>
        <v>0.31</v>
      </c>
      <c r="Y179" s="95">
        <v>0.6</v>
      </c>
      <c r="AC179" s="95">
        <v>0.3</v>
      </c>
    </row>
    <row r="180" spans="1:29" x14ac:dyDescent="0.2">
      <c r="A180" s="210" t="s">
        <v>650</v>
      </c>
      <c r="C180" s="116"/>
      <c r="D180" s="6" t="s">
        <v>159</v>
      </c>
      <c r="E180" s="12" t="s">
        <v>188</v>
      </c>
      <c r="F180" s="34">
        <f t="shared" si="106"/>
        <v>57.95</v>
      </c>
      <c r="G180" s="35">
        <f t="shared" si="107"/>
        <v>37.229999999999997</v>
      </c>
      <c r="H180" s="23">
        <f t="shared" si="108"/>
        <v>36.113099999999996</v>
      </c>
      <c r="I180" s="24">
        <f t="shared" si="108"/>
        <v>35.368499999999997</v>
      </c>
      <c r="J180" s="25">
        <f t="shared" si="108"/>
        <v>34.996199999999995</v>
      </c>
      <c r="L180" s="76">
        <v>55.7</v>
      </c>
      <c r="M180" s="99">
        <v>57.95</v>
      </c>
      <c r="N180" s="76">
        <v>35.78</v>
      </c>
      <c r="O180" s="99">
        <v>37.229999999999997</v>
      </c>
      <c r="P180" s="88"/>
      <c r="Q180" s="94" t="s">
        <v>300</v>
      </c>
      <c r="R180" s="95"/>
      <c r="S180" s="95"/>
      <c r="T180" s="95"/>
      <c r="U180" s="95">
        <f t="shared" si="80"/>
        <v>0</v>
      </c>
      <c r="V180" s="95"/>
      <c r="W180" s="95">
        <f t="shared" si="81"/>
        <v>0</v>
      </c>
      <c r="X180" s="197">
        <f t="shared" si="109"/>
        <v>0.31</v>
      </c>
      <c r="Y180" s="95">
        <v>0.6</v>
      </c>
      <c r="AC180" s="95">
        <v>0.3</v>
      </c>
    </row>
    <row r="181" spans="1:29" x14ac:dyDescent="0.2">
      <c r="A181" s="210" t="s">
        <v>651</v>
      </c>
      <c r="C181" s="116"/>
      <c r="D181" s="6" t="s">
        <v>160</v>
      </c>
      <c r="E181" s="12" t="s">
        <v>188</v>
      </c>
      <c r="F181" s="34">
        <f t="shared" si="106"/>
        <v>91.9</v>
      </c>
      <c r="G181" s="35">
        <f t="shared" si="107"/>
        <v>59.04</v>
      </c>
      <c r="H181" s="23">
        <f t="shared" si="108"/>
        <v>57.268799999999999</v>
      </c>
      <c r="I181" s="24">
        <f t="shared" si="108"/>
        <v>56.087999999999994</v>
      </c>
      <c r="J181" s="25">
        <f t="shared" si="108"/>
        <v>55.497599999999998</v>
      </c>
      <c r="L181" s="76">
        <v>85.75</v>
      </c>
      <c r="M181" s="99">
        <v>91.9</v>
      </c>
      <c r="N181" s="76">
        <v>55.09</v>
      </c>
      <c r="O181" s="99">
        <v>59.04</v>
      </c>
      <c r="P181" s="88"/>
      <c r="Q181" s="94" t="s">
        <v>300</v>
      </c>
      <c r="R181" s="95"/>
      <c r="S181" s="95"/>
      <c r="T181" s="95"/>
      <c r="U181" s="95">
        <f t="shared" si="80"/>
        <v>0</v>
      </c>
      <c r="V181" s="95"/>
      <c r="W181" s="95">
        <f t="shared" si="81"/>
        <v>0</v>
      </c>
      <c r="X181" s="197">
        <f t="shared" si="109"/>
        <v>0.31</v>
      </c>
      <c r="Y181" s="95">
        <v>0.6</v>
      </c>
      <c r="AC181" s="95">
        <v>0.3</v>
      </c>
    </row>
    <row r="182" spans="1:29" x14ac:dyDescent="0.2">
      <c r="A182" s="207" t="s">
        <v>652</v>
      </c>
      <c r="C182" s="118"/>
      <c r="D182" s="8" t="s">
        <v>161</v>
      </c>
      <c r="E182" s="15" t="s">
        <v>188</v>
      </c>
      <c r="F182" s="34">
        <f t="shared" si="106"/>
        <v>52</v>
      </c>
      <c r="G182" s="35">
        <f t="shared" si="107"/>
        <v>33.409999999999997</v>
      </c>
      <c r="H182" s="23">
        <f t="shared" si="108"/>
        <v>32.407699999999998</v>
      </c>
      <c r="I182" s="24">
        <f t="shared" si="108"/>
        <v>31.739499999999996</v>
      </c>
      <c r="J182" s="25">
        <f t="shared" si="108"/>
        <v>31.405399999999997</v>
      </c>
      <c r="L182" s="79">
        <v>48.55</v>
      </c>
      <c r="M182" s="99">
        <v>52</v>
      </c>
      <c r="N182" s="79">
        <v>31.19</v>
      </c>
      <c r="O182" s="99">
        <v>33.409999999999997</v>
      </c>
      <c r="P182" s="88"/>
      <c r="Q182" s="94" t="s">
        <v>300</v>
      </c>
      <c r="R182" s="95"/>
      <c r="S182" s="95"/>
      <c r="T182" s="95"/>
      <c r="U182" s="95">
        <f t="shared" si="80"/>
        <v>0</v>
      </c>
      <c r="V182" s="95"/>
      <c r="W182" s="95">
        <f t="shared" si="81"/>
        <v>0</v>
      </c>
      <c r="X182" s="197">
        <f t="shared" si="109"/>
        <v>0.31</v>
      </c>
      <c r="Y182" s="95">
        <v>0.6</v>
      </c>
      <c r="AC182" s="95">
        <v>0.3</v>
      </c>
    </row>
    <row r="183" spans="1:29" x14ac:dyDescent="0.2">
      <c r="A183" s="207" t="s">
        <v>644</v>
      </c>
      <c r="C183" s="118"/>
      <c r="D183" s="8" t="s">
        <v>486</v>
      </c>
      <c r="E183" s="15" t="s">
        <v>188</v>
      </c>
      <c r="F183" s="34">
        <f t="shared" si="106"/>
        <v>417.94</v>
      </c>
      <c r="G183" s="35">
        <f t="shared" si="107"/>
        <v>292.56</v>
      </c>
      <c r="H183" s="23">
        <f t="shared" si="108"/>
        <v>283.78320000000002</v>
      </c>
      <c r="I183" s="24">
        <f t="shared" si="108"/>
        <v>277.93200000000002</v>
      </c>
      <c r="J183" s="25">
        <f t="shared" si="108"/>
        <v>275.00639999999999</v>
      </c>
      <c r="L183" s="79">
        <v>555.15</v>
      </c>
      <c r="M183" s="99">
        <v>417.94</v>
      </c>
      <c r="N183" s="79">
        <v>356.63</v>
      </c>
      <c r="O183" s="99">
        <v>292.56</v>
      </c>
      <c r="P183" s="88"/>
      <c r="Q183" s="94" t="s">
        <v>482</v>
      </c>
      <c r="R183" s="95"/>
      <c r="S183" s="95"/>
      <c r="T183" s="95"/>
      <c r="U183" s="95">
        <f t="shared" si="80"/>
        <v>0</v>
      </c>
      <c r="V183" s="95"/>
      <c r="W183" s="95">
        <f t="shared" si="81"/>
        <v>0</v>
      </c>
      <c r="X183" s="197">
        <f t="shared" si="109"/>
        <v>0.31</v>
      </c>
      <c r="Y183" s="95">
        <v>0.4</v>
      </c>
      <c r="AC183" s="95">
        <v>0.3</v>
      </c>
    </row>
    <row r="184" spans="1:29" x14ac:dyDescent="0.2">
      <c r="A184" s="210" t="s">
        <v>643</v>
      </c>
      <c r="C184" s="116"/>
      <c r="D184" s="6" t="s">
        <v>484</v>
      </c>
      <c r="E184" s="12" t="s">
        <v>188</v>
      </c>
      <c r="F184" s="34">
        <f t="shared" si="106"/>
        <v>386.44</v>
      </c>
      <c r="G184" s="35">
        <f t="shared" si="107"/>
        <v>270.51</v>
      </c>
      <c r="H184" s="23">
        <f t="shared" si="108"/>
        <v>262.3947</v>
      </c>
      <c r="I184" s="24">
        <f t="shared" si="108"/>
        <v>256.98449999999997</v>
      </c>
      <c r="J184" s="25">
        <f t="shared" si="108"/>
        <v>254.27939999999998</v>
      </c>
      <c r="L184" s="76">
        <v>394.95</v>
      </c>
      <c r="M184" s="99">
        <v>386.44</v>
      </c>
      <c r="N184" s="76">
        <v>253.72</v>
      </c>
      <c r="O184" s="99">
        <v>270.51</v>
      </c>
      <c r="P184" s="88"/>
      <c r="Q184" s="94" t="s">
        <v>482</v>
      </c>
      <c r="R184" s="95"/>
      <c r="S184" s="95"/>
      <c r="T184" s="95"/>
      <c r="U184" s="95">
        <f t="shared" si="80"/>
        <v>0</v>
      </c>
      <c r="V184" s="95"/>
      <c r="W184" s="95">
        <f t="shared" si="81"/>
        <v>0</v>
      </c>
      <c r="X184" s="197">
        <f t="shared" si="109"/>
        <v>0.31</v>
      </c>
      <c r="Y184" s="95">
        <v>0.6</v>
      </c>
      <c r="AC184" s="95">
        <v>0.3</v>
      </c>
    </row>
    <row r="185" spans="1:29" x14ac:dyDescent="0.2">
      <c r="A185" s="213" t="s">
        <v>776</v>
      </c>
      <c r="B185" s="60"/>
      <c r="C185" s="117"/>
      <c r="D185" s="7" t="s">
        <v>485</v>
      </c>
      <c r="E185" s="12" t="s">
        <v>188</v>
      </c>
      <c r="F185" s="34">
        <f t="shared" si="106"/>
        <v>120.38</v>
      </c>
      <c r="G185" s="35">
        <f t="shared" si="107"/>
        <v>84.26</v>
      </c>
      <c r="H185" s="23">
        <f t="shared" si="108"/>
        <v>81.732200000000006</v>
      </c>
      <c r="I185" s="24">
        <f t="shared" si="108"/>
        <v>80.046999999999997</v>
      </c>
      <c r="J185" s="25">
        <f t="shared" si="108"/>
        <v>79.204400000000007</v>
      </c>
      <c r="L185" s="76">
        <v>120.85</v>
      </c>
      <c r="M185" s="99">
        <v>120.38</v>
      </c>
      <c r="N185" s="76">
        <v>77.64</v>
      </c>
      <c r="O185" s="99">
        <v>84.26</v>
      </c>
      <c r="P185" s="88"/>
      <c r="Q185" s="94" t="s">
        <v>482</v>
      </c>
      <c r="R185" s="95"/>
      <c r="S185" s="95"/>
      <c r="T185" s="95"/>
      <c r="U185" s="95">
        <f t="shared" si="80"/>
        <v>0</v>
      </c>
      <c r="V185" s="95"/>
      <c r="W185" s="95">
        <f t="shared" si="81"/>
        <v>0</v>
      </c>
      <c r="X185" s="197">
        <f t="shared" si="109"/>
        <v>0.31</v>
      </c>
      <c r="Y185" s="95">
        <v>0.6</v>
      </c>
      <c r="AC185" s="95">
        <v>0.3</v>
      </c>
    </row>
    <row r="186" spans="1:29" x14ac:dyDescent="0.2">
      <c r="A186" s="57" t="s">
        <v>645</v>
      </c>
      <c r="C186" s="59"/>
      <c r="D186" s="69" t="s">
        <v>230</v>
      </c>
      <c r="E186" s="212" t="s">
        <v>188</v>
      </c>
      <c r="F186" s="34">
        <f>+L186</f>
        <v>65.211999999999989</v>
      </c>
      <c r="G186" s="35">
        <f>+N186</f>
        <v>46.58</v>
      </c>
      <c r="H186" s="23">
        <f t="shared" si="108"/>
        <v>45.182599999999994</v>
      </c>
      <c r="I186" s="24">
        <f t="shared" si="108"/>
        <v>44.250999999999998</v>
      </c>
      <c r="J186" s="25">
        <f t="shared" si="108"/>
        <v>43.785199999999996</v>
      </c>
      <c r="L186" s="85">
        <v>65.211999999999989</v>
      </c>
      <c r="M186" s="182">
        <f t="shared" ref="M186" si="110">+O186*1.4</f>
        <v>0</v>
      </c>
      <c r="N186" s="85">
        <v>46.58</v>
      </c>
      <c r="O186" s="182"/>
      <c r="P186" s="88"/>
      <c r="Q186" s="94" t="s">
        <v>741</v>
      </c>
      <c r="R186" s="186"/>
      <c r="S186" s="95"/>
      <c r="T186" s="95"/>
      <c r="U186" s="95">
        <f t="shared" si="80"/>
        <v>0</v>
      </c>
      <c r="V186" s="95"/>
      <c r="W186" s="95">
        <f t="shared" si="81"/>
        <v>0</v>
      </c>
      <c r="X186" s="98" t="s">
        <v>342</v>
      </c>
      <c r="Y186" s="98" t="s">
        <v>343</v>
      </c>
      <c r="AC186" s="95">
        <v>0.3</v>
      </c>
    </row>
    <row r="187" spans="1:29" x14ac:dyDescent="0.2">
      <c r="A187" s="57" t="s">
        <v>699</v>
      </c>
      <c r="C187" s="59"/>
      <c r="D187" s="69" t="s">
        <v>769</v>
      </c>
      <c r="E187" s="234" t="s">
        <v>188</v>
      </c>
      <c r="F187" s="34">
        <f t="shared" ref="F187" si="111">+M187</f>
        <v>32.630000000000003</v>
      </c>
      <c r="G187" s="35">
        <f t="shared" ref="G187" si="112">+O187</f>
        <v>22.84</v>
      </c>
      <c r="H187" s="23">
        <f t="shared" si="108"/>
        <v>22.154799999999998</v>
      </c>
      <c r="I187" s="24">
        <f t="shared" si="108"/>
        <v>21.698</v>
      </c>
      <c r="J187" s="25">
        <f t="shared" si="108"/>
        <v>21.4696</v>
      </c>
      <c r="L187" s="235"/>
      <c r="M187" s="182">
        <v>32.630000000000003</v>
      </c>
      <c r="N187" s="235"/>
      <c r="O187" s="182">
        <v>22.84</v>
      </c>
      <c r="P187" s="88"/>
      <c r="Q187" s="3" t="s">
        <v>482</v>
      </c>
    </row>
    <row r="188" spans="1:29" x14ac:dyDescent="0.2">
      <c r="A188" s="14"/>
      <c r="B188" s="20"/>
      <c r="C188" s="20"/>
      <c r="D188" s="2" t="s">
        <v>424</v>
      </c>
      <c r="E188" s="14"/>
      <c r="F188" s="48"/>
      <c r="G188" s="48"/>
      <c r="H188" s="48"/>
      <c r="I188" s="48"/>
      <c r="J188" s="48"/>
      <c r="L188" s="78"/>
      <c r="M188" s="182"/>
      <c r="N188" s="78"/>
      <c r="O188" s="182"/>
      <c r="P188" s="88"/>
      <c r="U188" s="1">
        <f t="shared" si="80"/>
        <v>0</v>
      </c>
      <c r="W188" s="1">
        <f t="shared" si="81"/>
        <v>0</v>
      </c>
    </row>
    <row r="189" spans="1:29" x14ac:dyDescent="0.2">
      <c r="A189" s="204" t="s">
        <v>653</v>
      </c>
      <c r="B189" s="202"/>
      <c r="C189" s="203"/>
      <c r="D189" s="7" t="s">
        <v>252</v>
      </c>
      <c r="E189" s="13" t="s">
        <v>188</v>
      </c>
      <c r="F189" s="34">
        <f>+L189</f>
        <v>33</v>
      </c>
      <c r="G189" s="35">
        <f>+N189</f>
        <v>26</v>
      </c>
      <c r="H189" s="23">
        <f t="shared" ref="H189:J193" si="113">$G189*(1-H$1)</f>
        <v>25.22</v>
      </c>
      <c r="I189" s="24">
        <f t="shared" si="113"/>
        <v>24.7</v>
      </c>
      <c r="J189" s="25">
        <f t="shared" si="113"/>
        <v>24.439999999999998</v>
      </c>
      <c r="L189" s="99">
        <v>33</v>
      </c>
      <c r="M189" s="182">
        <f t="shared" si="83"/>
        <v>27</v>
      </c>
      <c r="N189" s="99">
        <v>26</v>
      </c>
      <c r="O189" s="182">
        <f t="shared" si="84"/>
        <v>21</v>
      </c>
      <c r="P189" s="128" t="s">
        <v>356</v>
      </c>
      <c r="Q189" s="94" t="s">
        <v>312</v>
      </c>
      <c r="R189" s="95">
        <v>13.1</v>
      </c>
      <c r="S189" s="95">
        <f>450/300</f>
        <v>1.5</v>
      </c>
      <c r="T189" s="95"/>
      <c r="U189" s="95">
        <f t="shared" si="80"/>
        <v>14.6</v>
      </c>
      <c r="V189" s="95"/>
      <c r="W189" s="95">
        <f t="shared" si="81"/>
        <v>14.6</v>
      </c>
      <c r="X189" s="95">
        <v>0.41</v>
      </c>
      <c r="Y189" s="95">
        <v>0.28000000000000003</v>
      </c>
    </row>
    <row r="190" spans="1:29" x14ac:dyDescent="0.2">
      <c r="A190" s="212" t="s">
        <v>657</v>
      </c>
      <c r="B190" s="16"/>
      <c r="C190" s="70"/>
      <c r="D190" s="6" t="s">
        <v>353</v>
      </c>
      <c r="E190" s="12" t="s">
        <v>188</v>
      </c>
      <c r="F190" s="34">
        <f t="shared" ref="F190:F193" si="114">+L190</f>
        <v>1</v>
      </c>
      <c r="G190" s="35">
        <f t="shared" ref="G190:G193" si="115">+N190</f>
        <v>1</v>
      </c>
      <c r="H190" s="23">
        <f t="shared" si="113"/>
        <v>0.97</v>
      </c>
      <c r="I190" s="24">
        <f t="shared" si="113"/>
        <v>0.95</v>
      </c>
      <c r="J190" s="25">
        <f t="shared" si="113"/>
        <v>0.94</v>
      </c>
      <c r="L190" s="101">
        <v>1</v>
      </c>
      <c r="M190" s="182">
        <f t="shared" si="83"/>
        <v>1</v>
      </c>
      <c r="N190" s="101">
        <v>1</v>
      </c>
      <c r="O190" s="182">
        <f t="shared" si="84"/>
        <v>1</v>
      </c>
      <c r="P190" s="128" t="s">
        <v>356</v>
      </c>
      <c r="Q190" s="94" t="s">
        <v>312</v>
      </c>
      <c r="R190" s="95">
        <v>0.73</v>
      </c>
      <c r="S190" s="95"/>
      <c r="T190" s="95"/>
      <c r="U190" s="95">
        <f t="shared" si="80"/>
        <v>0.73</v>
      </c>
      <c r="V190" s="95"/>
      <c r="W190" s="95">
        <f t="shared" si="81"/>
        <v>0.73</v>
      </c>
      <c r="X190" s="95">
        <v>0.5</v>
      </c>
      <c r="Y190" s="95">
        <v>0.2</v>
      </c>
    </row>
    <row r="191" spans="1:29" x14ac:dyDescent="0.2">
      <c r="A191" s="212" t="s">
        <v>655</v>
      </c>
      <c r="B191" s="16"/>
      <c r="C191" s="70"/>
      <c r="D191" s="6" t="s">
        <v>767</v>
      </c>
      <c r="E191" s="12" t="s">
        <v>188</v>
      </c>
      <c r="F191" s="34">
        <f t="shared" si="114"/>
        <v>4.5999999999999996</v>
      </c>
      <c r="G191" s="35">
        <f t="shared" si="115"/>
        <v>4</v>
      </c>
      <c r="H191" s="23">
        <f t="shared" si="113"/>
        <v>3.88</v>
      </c>
      <c r="I191" s="24">
        <f t="shared" si="113"/>
        <v>3.8</v>
      </c>
      <c r="J191" s="25">
        <f t="shared" si="113"/>
        <v>3.76</v>
      </c>
      <c r="L191" s="99">
        <v>4.5999999999999996</v>
      </c>
      <c r="M191" s="182">
        <f t="shared" si="83"/>
        <v>4</v>
      </c>
      <c r="N191" s="99">
        <v>4</v>
      </c>
      <c r="O191" s="182">
        <f t="shared" si="84"/>
        <v>3</v>
      </c>
      <c r="P191" s="88"/>
      <c r="Q191" s="94" t="s">
        <v>312</v>
      </c>
      <c r="R191" s="95">
        <v>2.65</v>
      </c>
      <c r="S191" s="95"/>
      <c r="T191" s="95"/>
      <c r="U191" s="95">
        <f t="shared" si="80"/>
        <v>2.65</v>
      </c>
      <c r="V191" s="95"/>
      <c r="W191" s="95">
        <f t="shared" si="81"/>
        <v>2.65</v>
      </c>
      <c r="X191" s="95">
        <v>0.24</v>
      </c>
      <c r="Y191" s="95">
        <v>0.12</v>
      </c>
    </row>
    <row r="192" spans="1:29" x14ac:dyDescent="0.2">
      <c r="A192" s="212" t="s">
        <v>654</v>
      </c>
      <c r="B192" s="16"/>
      <c r="C192" s="131"/>
      <c r="D192" s="6" t="s">
        <v>170</v>
      </c>
      <c r="E192" s="12" t="s">
        <v>188</v>
      </c>
      <c r="F192" s="34">
        <f t="shared" si="114"/>
        <v>4</v>
      </c>
      <c r="G192" s="35">
        <f t="shared" si="115"/>
        <v>3.4</v>
      </c>
      <c r="H192" s="23">
        <f t="shared" si="113"/>
        <v>3.298</v>
      </c>
      <c r="I192" s="24">
        <f t="shared" si="113"/>
        <v>3.23</v>
      </c>
      <c r="J192" s="25">
        <f t="shared" si="113"/>
        <v>3.1959999999999997</v>
      </c>
      <c r="L192" s="99">
        <v>4</v>
      </c>
      <c r="M192" s="182">
        <f t="shared" si="83"/>
        <v>4</v>
      </c>
      <c r="N192" s="99">
        <v>3.4</v>
      </c>
      <c r="O192" s="182">
        <f t="shared" si="84"/>
        <v>3</v>
      </c>
      <c r="P192" s="88"/>
      <c r="Q192" s="94" t="s">
        <v>354</v>
      </c>
      <c r="R192" s="95">
        <v>2.2999999999999998</v>
      </c>
      <c r="S192" s="95"/>
      <c r="T192" s="95"/>
      <c r="U192" s="95">
        <f t="shared" si="80"/>
        <v>2.2999999999999998</v>
      </c>
      <c r="V192" s="95"/>
      <c r="W192" s="95">
        <f t="shared" si="81"/>
        <v>2.2999999999999998</v>
      </c>
      <c r="X192" s="95">
        <v>0.4</v>
      </c>
      <c r="Y192" s="95">
        <v>0.18</v>
      </c>
    </row>
    <row r="193" spans="1:25" x14ac:dyDescent="0.2">
      <c r="A193" s="212" t="s">
        <v>656</v>
      </c>
      <c r="B193" s="16"/>
      <c r="C193" s="70"/>
      <c r="D193" s="6" t="s">
        <v>768</v>
      </c>
      <c r="E193" s="12" t="s">
        <v>188</v>
      </c>
      <c r="F193" s="34">
        <f t="shared" si="114"/>
        <v>3.6</v>
      </c>
      <c r="G193" s="35">
        <f t="shared" si="115"/>
        <v>3</v>
      </c>
      <c r="H193" s="23">
        <f t="shared" si="113"/>
        <v>2.91</v>
      </c>
      <c r="I193" s="24">
        <f t="shared" si="113"/>
        <v>2.8499999999999996</v>
      </c>
      <c r="J193" s="25">
        <f t="shared" si="113"/>
        <v>2.82</v>
      </c>
      <c r="L193" s="99">
        <v>3.6</v>
      </c>
      <c r="M193" s="182">
        <f t="shared" si="83"/>
        <v>3</v>
      </c>
      <c r="N193" s="99">
        <v>3</v>
      </c>
      <c r="O193" s="182">
        <f t="shared" si="84"/>
        <v>3</v>
      </c>
      <c r="P193" s="88"/>
      <c r="Q193" s="94" t="s">
        <v>312</v>
      </c>
      <c r="R193" s="95">
        <v>1.99</v>
      </c>
      <c r="S193" s="95"/>
      <c r="T193" s="95"/>
      <c r="U193" s="95">
        <f t="shared" si="80"/>
        <v>1.99</v>
      </c>
      <c r="V193" s="95"/>
      <c r="W193" s="95">
        <f t="shared" si="81"/>
        <v>1.99</v>
      </c>
      <c r="X193" s="95">
        <v>0.25</v>
      </c>
      <c r="Y193" s="95">
        <v>0.15</v>
      </c>
    </row>
    <row r="194" spans="1:25" x14ac:dyDescent="0.2">
      <c r="A194" s="14"/>
      <c r="B194" s="20"/>
      <c r="C194" s="20"/>
      <c r="D194" s="2" t="s">
        <v>231</v>
      </c>
      <c r="E194" s="14"/>
      <c r="F194" s="48"/>
      <c r="G194" s="48"/>
      <c r="H194" s="48"/>
      <c r="I194" s="48"/>
      <c r="J194" s="48"/>
      <c r="L194" s="78"/>
      <c r="M194" s="182"/>
      <c r="N194" s="78"/>
      <c r="O194" s="182"/>
      <c r="P194" s="88"/>
      <c r="U194" s="1">
        <f t="shared" si="80"/>
        <v>0</v>
      </c>
      <c r="W194" s="1">
        <f t="shared" si="81"/>
        <v>0</v>
      </c>
    </row>
    <row r="195" spans="1:25" x14ac:dyDescent="0.2">
      <c r="A195" s="207" t="s">
        <v>604</v>
      </c>
      <c r="B195" s="61"/>
      <c r="C195" s="118"/>
      <c r="D195" s="8" t="s">
        <v>232</v>
      </c>
      <c r="E195" s="13" t="s">
        <v>188</v>
      </c>
      <c r="F195" s="34">
        <f t="shared" ref="F195:F210" si="116">+L195</f>
        <v>127.07799999999999</v>
      </c>
      <c r="G195" s="35">
        <f t="shared" ref="G195:G210" si="117">+N195</f>
        <v>90.77</v>
      </c>
      <c r="H195" s="23">
        <f>+G195</f>
        <v>90.77</v>
      </c>
      <c r="I195" s="24">
        <f>+H195</f>
        <v>90.77</v>
      </c>
      <c r="J195" s="25">
        <f>+I195</f>
        <v>90.77</v>
      </c>
      <c r="L195" s="79">
        <v>127.07799999999999</v>
      </c>
      <c r="M195" s="182">
        <f>+O195*1.4</f>
        <v>0</v>
      </c>
      <c r="N195" s="79">
        <v>90.77</v>
      </c>
      <c r="O195" s="182"/>
      <c r="P195" s="88"/>
      <c r="Q195" s="94" t="s">
        <v>325</v>
      </c>
      <c r="R195" s="95">
        <v>73.75</v>
      </c>
      <c r="S195" s="95"/>
      <c r="T195" s="95"/>
      <c r="U195" s="95">
        <f t="shared" si="80"/>
        <v>73.75</v>
      </c>
      <c r="V195" s="95"/>
      <c r="W195" s="95">
        <f t="shared" si="81"/>
        <v>73.75</v>
      </c>
      <c r="X195" s="98" t="s">
        <v>342</v>
      </c>
      <c r="Y195" s="98" t="s">
        <v>343</v>
      </c>
    </row>
    <row r="196" spans="1:25" x14ac:dyDescent="0.2">
      <c r="A196" s="207" t="s">
        <v>605</v>
      </c>
      <c r="B196" s="61"/>
      <c r="C196" s="118"/>
      <c r="D196" s="8" t="s">
        <v>233</v>
      </c>
      <c r="E196" s="12" t="s">
        <v>188</v>
      </c>
      <c r="F196" s="34">
        <f t="shared" si="116"/>
        <v>158.35399999999998</v>
      </c>
      <c r="G196" s="35">
        <f t="shared" si="117"/>
        <v>113.11</v>
      </c>
      <c r="H196" s="23">
        <f t="shared" ref="H196:J209" si="118">+G196</f>
        <v>113.11</v>
      </c>
      <c r="I196" s="24">
        <f t="shared" si="118"/>
        <v>113.11</v>
      </c>
      <c r="J196" s="25">
        <f t="shared" si="118"/>
        <v>113.11</v>
      </c>
      <c r="L196" s="79">
        <v>158.35399999999998</v>
      </c>
      <c r="M196" s="182">
        <f t="shared" ref="M196:M210" si="119">+O196*1.4</f>
        <v>0</v>
      </c>
      <c r="N196" s="79">
        <v>113.11</v>
      </c>
      <c r="O196" s="182"/>
      <c r="P196" s="88"/>
      <c r="Q196" s="94" t="s">
        <v>325</v>
      </c>
      <c r="R196" s="95">
        <v>86.25</v>
      </c>
      <c r="S196" s="95"/>
      <c r="T196" s="95"/>
      <c r="U196" s="95">
        <f t="shared" si="80"/>
        <v>86.25</v>
      </c>
      <c r="V196" s="95"/>
      <c r="W196" s="95">
        <f t="shared" si="81"/>
        <v>86.25</v>
      </c>
      <c r="X196" s="98" t="s">
        <v>342</v>
      </c>
      <c r="Y196" s="98" t="s">
        <v>343</v>
      </c>
    </row>
    <row r="197" spans="1:25" x14ac:dyDescent="0.2">
      <c r="A197" s="207" t="s">
        <v>606</v>
      </c>
      <c r="B197" s="61"/>
      <c r="C197" s="118"/>
      <c r="D197" s="8" t="s">
        <v>234</v>
      </c>
      <c r="E197" s="15" t="s">
        <v>188</v>
      </c>
      <c r="F197" s="34">
        <f t="shared" si="116"/>
        <v>127.07799999999999</v>
      </c>
      <c r="G197" s="35">
        <f t="shared" si="117"/>
        <v>90.77</v>
      </c>
      <c r="H197" s="23">
        <f t="shared" si="118"/>
        <v>90.77</v>
      </c>
      <c r="I197" s="24">
        <f t="shared" si="118"/>
        <v>90.77</v>
      </c>
      <c r="J197" s="25">
        <f t="shared" si="118"/>
        <v>90.77</v>
      </c>
      <c r="L197" s="79">
        <v>127.07799999999999</v>
      </c>
      <c r="M197" s="182">
        <f t="shared" si="119"/>
        <v>0</v>
      </c>
      <c r="N197" s="79">
        <v>90.77</v>
      </c>
      <c r="O197" s="182"/>
      <c r="P197" s="88"/>
      <c r="Q197" s="94" t="s">
        <v>325</v>
      </c>
      <c r="R197" s="95">
        <v>73.75</v>
      </c>
      <c r="S197" s="95"/>
      <c r="T197" s="95"/>
      <c r="U197" s="95">
        <f t="shared" si="80"/>
        <v>73.75</v>
      </c>
      <c r="V197" s="95"/>
      <c r="W197" s="95">
        <f t="shared" si="81"/>
        <v>73.75</v>
      </c>
      <c r="X197" s="98" t="s">
        <v>342</v>
      </c>
      <c r="Y197" s="98" t="s">
        <v>343</v>
      </c>
    </row>
    <row r="198" spans="1:25" x14ac:dyDescent="0.2">
      <c r="A198" s="207" t="s">
        <v>599</v>
      </c>
      <c r="B198" s="61"/>
      <c r="C198" s="118"/>
      <c r="D198" s="8" t="s">
        <v>235</v>
      </c>
      <c r="E198" s="12" t="s">
        <v>188</v>
      </c>
      <c r="F198" s="34">
        <f t="shared" si="116"/>
        <v>9.5060000000000002</v>
      </c>
      <c r="G198" s="35">
        <f t="shared" si="117"/>
        <v>6.79</v>
      </c>
      <c r="H198" s="23">
        <f t="shared" si="118"/>
        <v>6.79</v>
      </c>
      <c r="I198" s="24">
        <f t="shared" si="118"/>
        <v>6.79</v>
      </c>
      <c r="J198" s="25">
        <f t="shared" si="118"/>
        <v>6.79</v>
      </c>
      <c r="L198" s="79">
        <v>9.5060000000000002</v>
      </c>
      <c r="M198" s="182">
        <f t="shared" si="119"/>
        <v>0</v>
      </c>
      <c r="N198" s="79">
        <v>6.79</v>
      </c>
      <c r="O198" s="182"/>
      <c r="P198" s="88"/>
      <c r="Q198" s="94" t="s">
        <v>325</v>
      </c>
      <c r="R198" s="95">
        <v>5.1913999999999998</v>
      </c>
      <c r="S198" s="95"/>
      <c r="T198" s="95"/>
      <c r="U198" s="95">
        <f t="shared" si="80"/>
        <v>5.1913999999999998</v>
      </c>
      <c r="V198" s="95"/>
      <c r="W198" s="95">
        <f t="shared" si="81"/>
        <v>5.1913999999999998</v>
      </c>
      <c r="X198" s="98" t="s">
        <v>342</v>
      </c>
      <c r="Y198" s="98" t="s">
        <v>343</v>
      </c>
    </row>
    <row r="199" spans="1:25" x14ac:dyDescent="0.2">
      <c r="A199" s="207" t="s">
        <v>600</v>
      </c>
      <c r="B199" s="61"/>
      <c r="C199" s="118"/>
      <c r="D199" s="8" t="s">
        <v>236</v>
      </c>
      <c r="E199" s="12" t="s">
        <v>188</v>
      </c>
      <c r="F199" s="34">
        <f t="shared" si="116"/>
        <v>9.8559999999999999</v>
      </c>
      <c r="G199" s="35">
        <f t="shared" si="117"/>
        <v>7.04</v>
      </c>
      <c r="H199" s="23">
        <f t="shared" si="118"/>
        <v>7.04</v>
      </c>
      <c r="I199" s="24">
        <f t="shared" si="118"/>
        <v>7.04</v>
      </c>
      <c r="J199" s="25">
        <f t="shared" si="118"/>
        <v>7.04</v>
      </c>
      <c r="L199" s="79">
        <v>9.8559999999999999</v>
      </c>
      <c r="M199" s="182">
        <f t="shared" si="119"/>
        <v>0</v>
      </c>
      <c r="N199" s="79">
        <v>7.04</v>
      </c>
      <c r="O199" s="182"/>
      <c r="P199" s="88"/>
      <c r="Q199" s="94" t="s">
        <v>325</v>
      </c>
      <c r="R199" s="95">
        <v>4.9089</v>
      </c>
      <c r="S199" s="95"/>
      <c r="T199" s="95"/>
      <c r="U199" s="95">
        <f t="shared" ref="U199:U222" si="120">SUM(R199:T199)</f>
        <v>4.9089</v>
      </c>
      <c r="V199" s="95"/>
      <c r="W199" s="95">
        <f t="shared" si="81"/>
        <v>4.9089</v>
      </c>
      <c r="X199" s="98" t="s">
        <v>342</v>
      </c>
      <c r="Y199" s="98" t="s">
        <v>343</v>
      </c>
    </row>
    <row r="200" spans="1:25" x14ac:dyDescent="0.2">
      <c r="A200" s="207" t="s">
        <v>611</v>
      </c>
      <c r="B200" s="61"/>
      <c r="C200" s="118"/>
      <c r="D200" s="8" t="s">
        <v>237</v>
      </c>
      <c r="E200" s="12" t="s">
        <v>188</v>
      </c>
      <c r="F200" s="34">
        <f t="shared" si="116"/>
        <v>18.2</v>
      </c>
      <c r="G200" s="35">
        <f t="shared" si="117"/>
        <v>13</v>
      </c>
      <c r="H200" s="23">
        <f t="shared" si="118"/>
        <v>13</v>
      </c>
      <c r="I200" s="24">
        <f t="shared" si="118"/>
        <v>13</v>
      </c>
      <c r="J200" s="25">
        <f t="shared" si="118"/>
        <v>13</v>
      </c>
      <c r="L200" s="79">
        <v>18.2</v>
      </c>
      <c r="M200" s="182">
        <f t="shared" si="119"/>
        <v>0</v>
      </c>
      <c r="N200" s="79">
        <v>13</v>
      </c>
      <c r="O200" s="182"/>
      <c r="P200" s="88"/>
      <c r="Q200" s="94" t="s">
        <v>325</v>
      </c>
      <c r="R200" s="95">
        <v>7.94</v>
      </c>
      <c r="S200" s="95"/>
      <c r="T200" s="95"/>
      <c r="U200" s="95">
        <f t="shared" si="120"/>
        <v>7.94</v>
      </c>
      <c r="V200" s="95"/>
      <c r="W200" s="95">
        <f t="shared" si="81"/>
        <v>7.94</v>
      </c>
      <c r="X200" s="98" t="s">
        <v>342</v>
      </c>
      <c r="Y200" s="98" t="s">
        <v>343</v>
      </c>
    </row>
    <row r="201" spans="1:25" x14ac:dyDescent="0.2">
      <c r="A201" s="207" t="s">
        <v>612</v>
      </c>
      <c r="B201" s="61"/>
      <c r="C201" s="118"/>
      <c r="D201" s="8" t="s">
        <v>238</v>
      </c>
      <c r="E201" s="12" t="s">
        <v>188</v>
      </c>
      <c r="F201" s="34">
        <f t="shared" si="116"/>
        <v>9.8139999999999983</v>
      </c>
      <c r="G201" s="35">
        <f t="shared" si="117"/>
        <v>7.01</v>
      </c>
      <c r="H201" s="23">
        <f t="shared" si="118"/>
        <v>7.01</v>
      </c>
      <c r="I201" s="24">
        <f t="shared" si="118"/>
        <v>7.01</v>
      </c>
      <c r="J201" s="25">
        <f t="shared" si="118"/>
        <v>7.01</v>
      </c>
      <c r="L201" s="79">
        <v>9.8139999999999983</v>
      </c>
      <c r="M201" s="182">
        <f t="shared" si="119"/>
        <v>0</v>
      </c>
      <c r="N201" s="79">
        <v>7.01</v>
      </c>
      <c r="O201" s="182"/>
      <c r="P201" s="88"/>
      <c r="Q201" s="94" t="s">
        <v>325</v>
      </c>
      <c r="R201" s="95">
        <v>4.6500000000000004</v>
      </c>
      <c r="S201" s="95"/>
      <c r="T201" s="95"/>
      <c r="U201" s="95">
        <f t="shared" si="120"/>
        <v>4.6500000000000004</v>
      </c>
      <c r="V201" s="95"/>
      <c r="W201" s="95">
        <f t="shared" si="81"/>
        <v>4.6500000000000004</v>
      </c>
      <c r="X201" s="98" t="s">
        <v>342</v>
      </c>
      <c r="Y201" s="98" t="s">
        <v>343</v>
      </c>
    </row>
    <row r="202" spans="1:25" x14ac:dyDescent="0.2">
      <c r="A202" s="207" t="s">
        <v>598</v>
      </c>
      <c r="B202" s="61"/>
      <c r="C202" s="118"/>
      <c r="D202" s="8" t="s">
        <v>245</v>
      </c>
      <c r="E202" s="12" t="s">
        <v>188</v>
      </c>
      <c r="F202" s="34">
        <f t="shared" si="116"/>
        <v>13.103999999999999</v>
      </c>
      <c r="G202" s="35">
        <f t="shared" si="117"/>
        <v>9.36</v>
      </c>
      <c r="H202" s="23">
        <f t="shared" si="118"/>
        <v>9.36</v>
      </c>
      <c r="I202" s="24">
        <f t="shared" si="118"/>
        <v>9.36</v>
      </c>
      <c r="J202" s="25">
        <f t="shared" si="118"/>
        <v>9.36</v>
      </c>
      <c r="L202" s="79">
        <v>13.103999999999999</v>
      </c>
      <c r="M202" s="182">
        <f t="shared" si="119"/>
        <v>0</v>
      </c>
      <c r="N202" s="79">
        <v>9.36</v>
      </c>
      <c r="O202" s="182"/>
      <c r="P202" s="88"/>
      <c r="Q202" s="94" t="s">
        <v>325</v>
      </c>
      <c r="R202" s="95">
        <v>8.0536999999999992</v>
      </c>
      <c r="S202" s="95"/>
      <c r="T202" s="95"/>
      <c r="U202" s="95">
        <f t="shared" si="120"/>
        <v>8.0536999999999992</v>
      </c>
      <c r="V202" s="95"/>
      <c r="W202" s="95">
        <f t="shared" si="81"/>
        <v>8.0536999999999992</v>
      </c>
      <c r="X202" s="98" t="s">
        <v>342</v>
      </c>
      <c r="Y202" s="98" t="s">
        <v>343</v>
      </c>
    </row>
    <row r="203" spans="1:25" x14ac:dyDescent="0.2">
      <c r="A203" s="207" t="s">
        <v>610</v>
      </c>
      <c r="B203" s="61"/>
      <c r="C203" s="118"/>
      <c r="D203" s="8" t="s">
        <v>246</v>
      </c>
      <c r="E203" s="12" t="s">
        <v>188</v>
      </c>
      <c r="F203" s="34">
        <f t="shared" si="116"/>
        <v>19.207999999999998</v>
      </c>
      <c r="G203" s="35">
        <f t="shared" si="117"/>
        <v>13.72</v>
      </c>
      <c r="H203" s="23">
        <f t="shared" si="118"/>
        <v>13.72</v>
      </c>
      <c r="I203" s="24">
        <f t="shared" si="118"/>
        <v>13.72</v>
      </c>
      <c r="J203" s="25">
        <f t="shared" si="118"/>
        <v>13.72</v>
      </c>
      <c r="L203" s="79">
        <v>19.207999999999998</v>
      </c>
      <c r="M203" s="182">
        <f t="shared" si="119"/>
        <v>0</v>
      </c>
      <c r="N203" s="79">
        <v>13.72</v>
      </c>
      <c r="O203" s="182"/>
      <c r="P203" s="88"/>
      <c r="Q203" s="94" t="s">
        <v>325</v>
      </c>
      <c r="R203" s="95">
        <v>10.0928</v>
      </c>
      <c r="S203" s="95"/>
      <c r="T203" s="95"/>
      <c r="U203" s="95">
        <f t="shared" si="120"/>
        <v>10.0928</v>
      </c>
      <c r="V203" s="95"/>
      <c r="W203" s="95">
        <f t="shared" si="81"/>
        <v>10.0928</v>
      </c>
      <c r="X203" s="98" t="s">
        <v>342</v>
      </c>
      <c r="Y203" s="98" t="s">
        <v>343</v>
      </c>
    </row>
    <row r="204" spans="1:25" x14ac:dyDescent="0.2">
      <c r="A204" s="207" t="s">
        <v>609</v>
      </c>
      <c r="B204" s="61"/>
      <c r="C204" s="118"/>
      <c r="D204" s="8" t="s">
        <v>247</v>
      </c>
      <c r="E204" s="12" t="s">
        <v>188</v>
      </c>
      <c r="F204" s="34">
        <f t="shared" si="116"/>
        <v>11.536</v>
      </c>
      <c r="G204" s="35">
        <f t="shared" si="117"/>
        <v>8.24</v>
      </c>
      <c r="H204" s="23">
        <f t="shared" si="118"/>
        <v>8.24</v>
      </c>
      <c r="I204" s="24">
        <f t="shared" si="118"/>
        <v>8.24</v>
      </c>
      <c r="J204" s="25">
        <f t="shared" si="118"/>
        <v>8.24</v>
      </c>
      <c r="L204" s="79">
        <v>11.536</v>
      </c>
      <c r="M204" s="182">
        <f t="shared" si="119"/>
        <v>0</v>
      </c>
      <c r="N204" s="79">
        <v>8.24</v>
      </c>
      <c r="O204" s="182"/>
      <c r="P204" s="88"/>
      <c r="Q204" s="94" t="s">
        <v>325</v>
      </c>
      <c r="R204" s="95">
        <v>6.5904999999999996</v>
      </c>
      <c r="S204" s="95"/>
      <c r="T204" s="95"/>
      <c r="U204" s="95">
        <f t="shared" si="120"/>
        <v>6.5904999999999996</v>
      </c>
      <c r="V204" s="95"/>
      <c r="W204" s="95">
        <f t="shared" si="81"/>
        <v>6.5904999999999996</v>
      </c>
      <c r="X204" s="98" t="s">
        <v>342</v>
      </c>
      <c r="Y204" s="98" t="s">
        <v>343</v>
      </c>
    </row>
    <row r="205" spans="1:25" x14ac:dyDescent="0.2">
      <c r="A205" s="207" t="s">
        <v>601</v>
      </c>
      <c r="B205" s="61"/>
      <c r="C205" s="118"/>
      <c r="D205" s="8" t="s">
        <v>244</v>
      </c>
      <c r="E205" s="12" t="s">
        <v>188</v>
      </c>
      <c r="F205" s="34">
        <f t="shared" si="116"/>
        <v>42.966000000000001</v>
      </c>
      <c r="G205" s="35">
        <f t="shared" si="117"/>
        <v>30.69</v>
      </c>
      <c r="H205" s="23">
        <f t="shared" si="118"/>
        <v>30.69</v>
      </c>
      <c r="I205" s="24">
        <f t="shared" si="118"/>
        <v>30.69</v>
      </c>
      <c r="J205" s="25">
        <f t="shared" si="118"/>
        <v>30.69</v>
      </c>
      <c r="L205" s="79">
        <v>42.966000000000001</v>
      </c>
      <c r="M205" s="182">
        <f t="shared" si="119"/>
        <v>0</v>
      </c>
      <c r="N205" s="79">
        <v>30.69</v>
      </c>
      <c r="O205" s="182"/>
      <c r="P205" s="88"/>
      <c r="Q205" s="94" t="s">
        <v>325</v>
      </c>
      <c r="R205" s="95">
        <v>22.9</v>
      </c>
      <c r="S205" s="95"/>
      <c r="T205" s="95"/>
      <c r="U205" s="95">
        <f t="shared" si="120"/>
        <v>22.9</v>
      </c>
      <c r="V205" s="95"/>
      <c r="W205" s="95">
        <f t="shared" si="81"/>
        <v>22.9</v>
      </c>
      <c r="X205" s="98" t="s">
        <v>342</v>
      </c>
      <c r="Y205" s="98" t="s">
        <v>343</v>
      </c>
    </row>
    <row r="206" spans="1:25" x14ac:dyDescent="0.2">
      <c r="A206" s="207" t="s">
        <v>607</v>
      </c>
      <c r="B206" s="61"/>
      <c r="C206" s="118"/>
      <c r="D206" s="8" t="s">
        <v>243</v>
      </c>
      <c r="E206" s="12" t="s">
        <v>188</v>
      </c>
      <c r="F206" s="34">
        <f t="shared" si="116"/>
        <v>24.527999999999999</v>
      </c>
      <c r="G206" s="35">
        <f t="shared" si="117"/>
        <v>17.52</v>
      </c>
      <c r="H206" s="23">
        <f t="shared" si="118"/>
        <v>17.52</v>
      </c>
      <c r="I206" s="24">
        <f t="shared" si="118"/>
        <v>17.52</v>
      </c>
      <c r="J206" s="25">
        <f t="shared" si="118"/>
        <v>17.52</v>
      </c>
      <c r="L206" s="79">
        <v>24.527999999999999</v>
      </c>
      <c r="M206" s="182">
        <f t="shared" si="119"/>
        <v>0</v>
      </c>
      <c r="N206" s="79">
        <v>17.52</v>
      </c>
      <c r="O206" s="182"/>
      <c r="P206" s="88"/>
      <c r="Q206" s="94" t="s">
        <v>325</v>
      </c>
      <c r="R206" s="186"/>
      <c r="S206" s="95"/>
      <c r="T206" s="95"/>
      <c r="U206" s="95">
        <f t="shared" si="120"/>
        <v>0</v>
      </c>
      <c r="V206" s="95"/>
      <c r="W206" s="95">
        <f t="shared" si="81"/>
        <v>0</v>
      </c>
      <c r="X206" s="98" t="s">
        <v>342</v>
      </c>
      <c r="Y206" s="98" t="s">
        <v>343</v>
      </c>
    </row>
    <row r="207" spans="1:25" x14ac:dyDescent="0.2">
      <c r="A207" s="207" t="s">
        <v>608</v>
      </c>
      <c r="B207" s="61"/>
      <c r="C207" s="118"/>
      <c r="D207" s="8" t="s">
        <v>242</v>
      </c>
      <c r="E207" s="12" t="s">
        <v>188</v>
      </c>
      <c r="F207" s="34">
        <f t="shared" si="116"/>
        <v>32.997999999999998</v>
      </c>
      <c r="G207" s="35">
        <f t="shared" si="117"/>
        <v>23.57</v>
      </c>
      <c r="H207" s="23">
        <f t="shared" si="118"/>
        <v>23.57</v>
      </c>
      <c r="I207" s="24">
        <f t="shared" si="118"/>
        <v>23.57</v>
      </c>
      <c r="J207" s="25">
        <f t="shared" si="118"/>
        <v>23.57</v>
      </c>
      <c r="L207" s="79">
        <v>32.997999999999998</v>
      </c>
      <c r="M207" s="182">
        <f t="shared" si="119"/>
        <v>0</v>
      </c>
      <c r="N207" s="79">
        <v>23.57</v>
      </c>
      <c r="O207" s="182"/>
      <c r="P207" s="88"/>
      <c r="Q207" s="94" t="s">
        <v>325</v>
      </c>
      <c r="R207" s="186"/>
      <c r="S207" s="95"/>
      <c r="T207" s="95"/>
      <c r="U207" s="95">
        <f t="shared" si="120"/>
        <v>0</v>
      </c>
      <c r="V207" s="95"/>
      <c r="W207" s="95">
        <f t="shared" ref="W207:W222" si="121">+U207*(1+V207)</f>
        <v>0</v>
      </c>
      <c r="X207" s="98" t="s">
        <v>342</v>
      </c>
      <c r="Y207" s="98" t="s">
        <v>343</v>
      </c>
    </row>
    <row r="208" spans="1:25" x14ac:dyDescent="0.2">
      <c r="A208" s="207" t="s">
        <v>602</v>
      </c>
      <c r="B208" s="61"/>
      <c r="C208" s="118"/>
      <c r="D208" s="8" t="s">
        <v>239</v>
      </c>
      <c r="E208" s="12" t="s">
        <v>188</v>
      </c>
      <c r="F208" s="34">
        <f t="shared" si="116"/>
        <v>5.04</v>
      </c>
      <c r="G208" s="35">
        <f t="shared" si="117"/>
        <v>3.6</v>
      </c>
      <c r="H208" s="23">
        <f t="shared" si="118"/>
        <v>3.6</v>
      </c>
      <c r="I208" s="24">
        <f t="shared" si="118"/>
        <v>3.6</v>
      </c>
      <c r="J208" s="25">
        <f t="shared" si="118"/>
        <v>3.6</v>
      </c>
      <c r="L208" s="79">
        <v>5.04</v>
      </c>
      <c r="M208" s="182">
        <f t="shared" si="119"/>
        <v>0</v>
      </c>
      <c r="N208" s="79">
        <v>3.6</v>
      </c>
      <c r="O208" s="182"/>
      <c r="P208" s="88"/>
      <c r="Q208" s="94" t="s">
        <v>325</v>
      </c>
      <c r="R208" s="95">
        <v>2.8329</v>
      </c>
      <c r="S208" s="95"/>
      <c r="T208" s="95"/>
      <c r="U208" s="95">
        <f t="shared" si="120"/>
        <v>2.8329</v>
      </c>
      <c r="V208" s="95"/>
      <c r="W208" s="95">
        <f t="shared" si="121"/>
        <v>2.8329</v>
      </c>
      <c r="X208" s="98" t="s">
        <v>342</v>
      </c>
      <c r="Y208" s="98" t="s">
        <v>343</v>
      </c>
    </row>
    <row r="209" spans="1:30" x14ac:dyDescent="0.2">
      <c r="A209" s="207" t="s">
        <v>613</v>
      </c>
      <c r="B209" s="61"/>
      <c r="C209" s="118"/>
      <c r="D209" s="8" t="s">
        <v>241</v>
      </c>
      <c r="E209" s="12" t="s">
        <v>188</v>
      </c>
      <c r="F209" s="34">
        <f t="shared" si="116"/>
        <v>9.2959999999999994</v>
      </c>
      <c r="G209" s="35">
        <f t="shared" si="117"/>
        <v>6.64</v>
      </c>
      <c r="H209" s="23">
        <f t="shared" si="118"/>
        <v>6.64</v>
      </c>
      <c r="I209" s="24">
        <f t="shared" si="118"/>
        <v>6.64</v>
      </c>
      <c r="J209" s="25">
        <f t="shared" si="118"/>
        <v>6.64</v>
      </c>
      <c r="L209" s="79">
        <v>9.2959999999999994</v>
      </c>
      <c r="M209" s="182">
        <f t="shared" si="119"/>
        <v>0</v>
      </c>
      <c r="N209" s="79">
        <v>6.64</v>
      </c>
      <c r="O209" s="182"/>
      <c r="P209" s="88"/>
      <c r="Q209" s="94" t="s">
        <v>325</v>
      </c>
      <c r="R209" s="95">
        <v>18.75</v>
      </c>
      <c r="S209" s="95"/>
      <c r="T209" s="95"/>
      <c r="U209" s="95">
        <f t="shared" si="120"/>
        <v>18.75</v>
      </c>
      <c r="V209" s="95"/>
      <c r="W209" s="95">
        <f t="shared" si="121"/>
        <v>18.75</v>
      </c>
      <c r="X209" s="98" t="s">
        <v>342</v>
      </c>
      <c r="Y209" s="98" t="s">
        <v>343</v>
      </c>
    </row>
    <row r="210" spans="1:30" x14ac:dyDescent="0.2">
      <c r="A210" s="207" t="s">
        <v>603</v>
      </c>
      <c r="B210" s="61"/>
      <c r="C210" s="118"/>
      <c r="D210" s="8" t="s">
        <v>240</v>
      </c>
      <c r="E210" s="12" t="s">
        <v>188</v>
      </c>
      <c r="F210" s="34">
        <f t="shared" si="116"/>
        <v>16.295999999999999</v>
      </c>
      <c r="G210" s="35">
        <f t="shared" si="117"/>
        <v>11.64</v>
      </c>
      <c r="H210" s="23">
        <f>+G210</f>
        <v>11.64</v>
      </c>
      <c r="I210" s="24">
        <f>+H210</f>
        <v>11.64</v>
      </c>
      <c r="J210" s="25">
        <f>+I210</f>
        <v>11.64</v>
      </c>
      <c r="L210" s="79">
        <v>16.295999999999999</v>
      </c>
      <c r="M210" s="182">
        <f t="shared" si="119"/>
        <v>0</v>
      </c>
      <c r="N210" s="79">
        <v>11.64</v>
      </c>
      <c r="O210" s="182"/>
      <c r="P210" s="88"/>
      <c r="Q210" s="94" t="s">
        <v>325</v>
      </c>
      <c r="R210" s="95">
        <v>11.42</v>
      </c>
      <c r="S210" s="95"/>
      <c r="T210" s="95"/>
      <c r="U210" s="95">
        <f t="shared" si="120"/>
        <v>11.42</v>
      </c>
      <c r="V210" s="95"/>
      <c r="W210" s="95">
        <f t="shared" si="121"/>
        <v>11.42</v>
      </c>
      <c r="X210" s="98" t="s">
        <v>342</v>
      </c>
      <c r="Y210" s="98" t="s">
        <v>343</v>
      </c>
    </row>
    <row r="211" spans="1:30" x14ac:dyDescent="0.2">
      <c r="A211" s="207" t="s">
        <v>690</v>
      </c>
      <c r="B211" s="61"/>
      <c r="C211" s="118"/>
      <c r="D211" s="8" t="s">
        <v>788</v>
      </c>
      <c r="E211" s="12" t="s">
        <v>188</v>
      </c>
      <c r="F211" s="34">
        <v>16.26408</v>
      </c>
      <c r="G211" s="35">
        <v>13.553400000000002</v>
      </c>
      <c r="H211" s="23">
        <v>13.146798</v>
      </c>
      <c r="I211" s="24">
        <v>12.875730000000001</v>
      </c>
      <c r="J211" s="25">
        <v>12.740196000000001</v>
      </c>
      <c r="L211" s="79"/>
      <c r="M211" s="99">
        <v>16.26408</v>
      </c>
      <c r="N211" s="79"/>
      <c r="O211" s="99">
        <v>13.553400000000002</v>
      </c>
      <c r="P211" s="88"/>
      <c r="Q211" s="94" t="s">
        <v>336</v>
      </c>
      <c r="R211" s="95"/>
      <c r="S211" s="95"/>
      <c r="T211" s="95"/>
      <c r="U211" s="95"/>
      <c r="V211" s="95"/>
      <c r="W211" s="95"/>
      <c r="X211" s="98"/>
      <c r="Y211" s="98"/>
    </row>
    <row r="212" spans="1:30" x14ac:dyDescent="0.2">
      <c r="A212" s="14"/>
      <c r="B212" s="20"/>
      <c r="C212" s="20"/>
      <c r="D212" s="2" t="s">
        <v>174</v>
      </c>
      <c r="E212" s="14"/>
      <c r="F212" s="48"/>
      <c r="G212" s="48"/>
      <c r="H212" s="48"/>
      <c r="I212" s="48"/>
      <c r="J212" s="48"/>
      <c r="L212" s="78"/>
      <c r="M212" s="182"/>
      <c r="N212" s="78"/>
      <c r="O212" s="182"/>
      <c r="P212" s="88"/>
      <c r="U212" s="1">
        <f t="shared" si="120"/>
        <v>0</v>
      </c>
      <c r="W212" s="1">
        <f t="shared" si="121"/>
        <v>0</v>
      </c>
    </row>
    <row r="213" spans="1:30" x14ac:dyDescent="0.2">
      <c r="A213" s="207" t="s">
        <v>554</v>
      </c>
      <c r="B213" s="61"/>
      <c r="C213" s="118"/>
      <c r="D213" s="8" t="s">
        <v>179</v>
      </c>
      <c r="E213" s="15" t="s">
        <v>196</v>
      </c>
      <c r="F213" s="34">
        <f>+M213</f>
        <v>88</v>
      </c>
      <c r="G213" s="35">
        <f>+O213</f>
        <v>70</v>
      </c>
      <c r="H213" s="23">
        <f t="shared" ref="H213:J217" si="122">$G213*(1-H$1)</f>
        <v>67.899999999999991</v>
      </c>
      <c r="I213" s="24">
        <f t="shared" si="122"/>
        <v>66.5</v>
      </c>
      <c r="J213" s="25">
        <f t="shared" si="122"/>
        <v>65.8</v>
      </c>
      <c r="L213" s="79">
        <v>107</v>
      </c>
      <c r="M213" s="99">
        <f t="shared" ref="M213:M222" si="123">ROUND(+W213*(1+X213)*(1+Y213)*(1+$R$1),0)</f>
        <v>88</v>
      </c>
      <c r="N213" s="79">
        <v>86</v>
      </c>
      <c r="O213" s="99">
        <f t="shared" ref="O213:O222" si="124">ROUND(+W213*(1+X213)*(1+$R$1),0)</f>
        <v>70</v>
      </c>
      <c r="P213" s="88"/>
      <c r="Q213" s="94" t="s">
        <v>299</v>
      </c>
      <c r="R213" s="95">
        <v>45</v>
      </c>
      <c r="S213" s="95"/>
      <c r="T213" s="95"/>
      <c r="U213" s="95">
        <f t="shared" si="120"/>
        <v>45</v>
      </c>
      <c r="V213" s="95"/>
      <c r="W213" s="95">
        <f t="shared" si="121"/>
        <v>45</v>
      </c>
      <c r="X213" s="197">
        <f>+AC213+$AD$213</f>
        <v>0.52</v>
      </c>
      <c r="Y213" s="95">
        <v>0.25</v>
      </c>
      <c r="AC213" s="95">
        <v>0.5</v>
      </c>
      <c r="AD213" s="1">
        <v>0.02</v>
      </c>
    </row>
    <row r="214" spans="1:30" x14ac:dyDescent="0.2">
      <c r="A214" s="207" t="s">
        <v>558</v>
      </c>
      <c r="C214" s="118"/>
      <c r="D214" s="8" t="s">
        <v>175</v>
      </c>
      <c r="E214" s="15" t="s">
        <v>196</v>
      </c>
      <c r="F214" s="34">
        <f t="shared" ref="F214:F217" si="125">+M214</f>
        <v>132</v>
      </c>
      <c r="G214" s="35">
        <f t="shared" ref="G214:G217" si="126">+O214</f>
        <v>106</v>
      </c>
      <c r="H214" s="23">
        <f t="shared" si="122"/>
        <v>102.82</v>
      </c>
      <c r="I214" s="24">
        <f t="shared" si="122"/>
        <v>100.69999999999999</v>
      </c>
      <c r="J214" s="25">
        <f t="shared" si="122"/>
        <v>99.64</v>
      </c>
      <c r="L214" s="79">
        <v>179</v>
      </c>
      <c r="M214" s="99">
        <f t="shared" si="123"/>
        <v>132</v>
      </c>
      <c r="N214" s="79">
        <v>143</v>
      </c>
      <c r="O214" s="99">
        <f t="shared" si="124"/>
        <v>106</v>
      </c>
      <c r="P214" s="88"/>
      <c r="Q214" s="94" t="s">
        <v>299</v>
      </c>
      <c r="R214" s="95">
        <v>67.5</v>
      </c>
      <c r="S214" s="95"/>
      <c r="T214" s="95"/>
      <c r="U214" s="95">
        <f t="shared" si="120"/>
        <v>67.5</v>
      </c>
      <c r="V214" s="95"/>
      <c r="W214" s="95">
        <f t="shared" si="121"/>
        <v>67.5</v>
      </c>
      <c r="X214" s="197">
        <f t="shared" ref="X214:X219" si="127">+AC214+$AD$213</f>
        <v>0.52</v>
      </c>
      <c r="Y214" s="95">
        <v>0.25</v>
      </c>
      <c r="AC214" s="95">
        <v>0.5</v>
      </c>
    </row>
    <row r="215" spans="1:30" x14ac:dyDescent="0.2">
      <c r="A215" s="210" t="s">
        <v>556</v>
      </c>
      <c r="C215" s="116"/>
      <c r="D215" s="6" t="s">
        <v>176</v>
      </c>
      <c r="E215" s="12" t="s">
        <v>196</v>
      </c>
      <c r="F215" s="34">
        <f t="shared" si="125"/>
        <v>68</v>
      </c>
      <c r="G215" s="35">
        <f t="shared" si="126"/>
        <v>55</v>
      </c>
      <c r="H215" s="23">
        <f t="shared" si="122"/>
        <v>53.35</v>
      </c>
      <c r="I215" s="24">
        <f t="shared" si="122"/>
        <v>52.25</v>
      </c>
      <c r="J215" s="25">
        <f t="shared" si="122"/>
        <v>51.699999999999996</v>
      </c>
      <c r="L215" s="76">
        <v>92</v>
      </c>
      <c r="M215" s="99">
        <f t="shared" si="123"/>
        <v>68</v>
      </c>
      <c r="N215" s="76">
        <v>74</v>
      </c>
      <c r="O215" s="99">
        <f t="shared" si="124"/>
        <v>55</v>
      </c>
      <c r="P215" s="88"/>
      <c r="Q215" s="94" t="s">
        <v>299</v>
      </c>
      <c r="R215" s="95">
        <v>35</v>
      </c>
      <c r="S215" s="95"/>
      <c r="T215" s="95"/>
      <c r="U215" s="95">
        <f t="shared" si="120"/>
        <v>35</v>
      </c>
      <c r="V215" s="95"/>
      <c r="W215" s="95">
        <f t="shared" si="121"/>
        <v>35</v>
      </c>
      <c r="X215" s="197">
        <f t="shared" si="127"/>
        <v>0.52</v>
      </c>
      <c r="Y215" s="95">
        <v>0.25</v>
      </c>
      <c r="AC215" s="95">
        <v>0.5</v>
      </c>
    </row>
    <row r="216" spans="1:30" x14ac:dyDescent="0.2">
      <c r="A216" s="210" t="s">
        <v>557</v>
      </c>
      <c r="C216" s="116"/>
      <c r="D216" s="6" t="s">
        <v>177</v>
      </c>
      <c r="E216" s="12" t="s">
        <v>196</v>
      </c>
      <c r="F216" s="34">
        <f t="shared" si="125"/>
        <v>20</v>
      </c>
      <c r="G216" s="35">
        <f t="shared" si="126"/>
        <v>16</v>
      </c>
      <c r="H216" s="23">
        <f t="shared" si="122"/>
        <v>15.52</v>
      </c>
      <c r="I216" s="24">
        <f t="shared" si="122"/>
        <v>15.2</v>
      </c>
      <c r="J216" s="25">
        <f t="shared" si="122"/>
        <v>15.04</v>
      </c>
      <c r="L216" s="76">
        <v>29</v>
      </c>
      <c r="M216" s="99">
        <f t="shared" si="123"/>
        <v>20</v>
      </c>
      <c r="N216" s="76">
        <v>22</v>
      </c>
      <c r="O216" s="99">
        <f t="shared" si="124"/>
        <v>16</v>
      </c>
      <c r="P216" s="88"/>
      <c r="Q216" s="94" t="s">
        <v>299</v>
      </c>
      <c r="R216" s="95">
        <v>11</v>
      </c>
      <c r="S216" s="95"/>
      <c r="T216" s="95"/>
      <c r="U216" s="95">
        <f t="shared" si="120"/>
        <v>11</v>
      </c>
      <c r="V216" s="95"/>
      <c r="W216" s="95">
        <f t="shared" si="121"/>
        <v>11</v>
      </c>
      <c r="X216" s="197">
        <f t="shared" si="127"/>
        <v>0.39</v>
      </c>
      <c r="Y216" s="95">
        <v>0.3</v>
      </c>
      <c r="AC216" s="95">
        <v>0.37</v>
      </c>
    </row>
    <row r="217" spans="1:30" x14ac:dyDescent="0.2">
      <c r="A217" s="211" t="s">
        <v>555</v>
      </c>
      <c r="B217" s="60"/>
      <c r="C217" s="117"/>
      <c r="D217" s="6" t="s">
        <v>178</v>
      </c>
      <c r="E217" s="12" t="s">
        <v>196</v>
      </c>
      <c r="F217" s="34">
        <f t="shared" si="125"/>
        <v>157</v>
      </c>
      <c r="G217" s="35">
        <f t="shared" si="126"/>
        <v>125</v>
      </c>
      <c r="H217" s="23">
        <f t="shared" si="122"/>
        <v>121.25</v>
      </c>
      <c r="I217" s="24">
        <f t="shared" si="122"/>
        <v>118.75</v>
      </c>
      <c r="J217" s="25">
        <f t="shared" si="122"/>
        <v>117.5</v>
      </c>
      <c r="L217" s="76">
        <v>204</v>
      </c>
      <c r="M217" s="99">
        <f t="shared" si="123"/>
        <v>157</v>
      </c>
      <c r="N217" s="76">
        <v>163</v>
      </c>
      <c r="O217" s="99">
        <f t="shared" si="124"/>
        <v>125</v>
      </c>
      <c r="P217" s="88"/>
      <c r="Q217" s="94" t="s">
        <v>299</v>
      </c>
      <c r="R217" s="95">
        <v>80</v>
      </c>
      <c r="S217" s="95"/>
      <c r="T217" s="95"/>
      <c r="U217" s="95">
        <f t="shared" si="120"/>
        <v>80</v>
      </c>
      <c r="V217" s="95"/>
      <c r="W217" s="95">
        <f t="shared" si="121"/>
        <v>80</v>
      </c>
      <c r="X217" s="197">
        <f t="shared" si="127"/>
        <v>0.52</v>
      </c>
      <c r="Y217" s="95">
        <v>0.25</v>
      </c>
      <c r="AC217" s="95">
        <v>0.5</v>
      </c>
    </row>
    <row r="218" spans="1:30" x14ac:dyDescent="0.2">
      <c r="A218" s="14"/>
      <c r="B218" s="20"/>
      <c r="C218" s="20"/>
      <c r="D218" s="2" t="s">
        <v>180</v>
      </c>
      <c r="E218" s="14"/>
      <c r="F218" s="48"/>
      <c r="G218" s="48"/>
      <c r="H218" s="48"/>
      <c r="I218" s="48"/>
      <c r="J218" s="48"/>
      <c r="L218" s="78"/>
      <c r="M218" s="182"/>
      <c r="N218" s="78"/>
      <c r="O218" s="182"/>
      <c r="P218" s="88"/>
      <c r="U218" s="1">
        <f t="shared" si="120"/>
        <v>0</v>
      </c>
      <c r="W218" s="1">
        <f t="shared" si="121"/>
        <v>0</v>
      </c>
    </row>
    <row r="219" spans="1:30" x14ac:dyDescent="0.2">
      <c r="A219" s="211" t="s">
        <v>537</v>
      </c>
      <c r="B219" s="60"/>
      <c r="C219" s="117"/>
      <c r="D219" s="6" t="s">
        <v>184</v>
      </c>
      <c r="E219" s="12" t="s">
        <v>196</v>
      </c>
      <c r="F219" s="34">
        <f>+L219</f>
        <v>51</v>
      </c>
      <c r="G219" s="35">
        <f>+N219</f>
        <v>32</v>
      </c>
      <c r="H219" s="23">
        <f t="shared" ref="H219:J219" si="128">$G219*(1-H$1)</f>
        <v>31.04</v>
      </c>
      <c r="I219" s="24">
        <f t="shared" si="128"/>
        <v>30.4</v>
      </c>
      <c r="J219" s="25">
        <f t="shared" si="128"/>
        <v>30.08</v>
      </c>
      <c r="L219" s="99">
        <v>51</v>
      </c>
      <c r="M219" s="182">
        <f t="shared" si="123"/>
        <v>52</v>
      </c>
      <c r="N219" s="99">
        <v>32</v>
      </c>
      <c r="O219" s="182">
        <f t="shared" si="124"/>
        <v>33</v>
      </c>
      <c r="P219" s="88"/>
      <c r="Q219" s="94" t="s">
        <v>294</v>
      </c>
      <c r="R219" s="95">
        <v>18.45</v>
      </c>
      <c r="S219" s="95"/>
      <c r="T219" s="95"/>
      <c r="U219" s="95">
        <f t="shared" si="120"/>
        <v>18.45</v>
      </c>
      <c r="V219" s="95"/>
      <c r="W219" s="95">
        <f t="shared" si="121"/>
        <v>18.45</v>
      </c>
      <c r="X219" s="197">
        <f t="shared" si="127"/>
        <v>0.74</v>
      </c>
      <c r="Y219" s="95">
        <v>0.56000000000000005</v>
      </c>
      <c r="AC219" s="95">
        <v>0.72</v>
      </c>
    </row>
    <row r="220" spans="1:30" x14ac:dyDescent="0.2">
      <c r="A220" s="14"/>
      <c r="B220" s="20"/>
      <c r="C220" s="20"/>
      <c r="D220" s="2" t="s">
        <v>185</v>
      </c>
      <c r="E220" s="14"/>
      <c r="F220" s="48"/>
      <c r="G220" s="48"/>
      <c r="H220" s="48"/>
      <c r="I220" s="48"/>
      <c r="J220" s="48"/>
      <c r="L220" s="78"/>
      <c r="M220" s="182"/>
      <c r="N220" s="78"/>
      <c r="O220" s="182"/>
      <c r="P220" s="88"/>
      <c r="U220" s="1">
        <f t="shared" si="120"/>
        <v>0</v>
      </c>
      <c r="W220" s="1">
        <f t="shared" si="121"/>
        <v>0</v>
      </c>
    </row>
    <row r="221" spans="1:30" x14ac:dyDescent="0.2">
      <c r="A221" s="207" t="s">
        <v>583</v>
      </c>
      <c r="B221" s="61"/>
      <c r="C221" s="118"/>
      <c r="D221" s="6" t="s">
        <v>186</v>
      </c>
      <c r="E221" s="12" t="s">
        <v>198</v>
      </c>
      <c r="F221" s="34">
        <f>+M221</f>
        <v>8</v>
      </c>
      <c r="G221" s="35">
        <f>+O221</f>
        <v>5</v>
      </c>
      <c r="H221" s="23">
        <f>+O221</f>
        <v>5</v>
      </c>
      <c r="I221" s="24">
        <f>+O221</f>
        <v>5</v>
      </c>
      <c r="J221" s="25">
        <f>+O221</f>
        <v>5</v>
      </c>
      <c r="L221" s="76">
        <v>8</v>
      </c>
      <c r="M221" s="99">
        <f t="shared" si="123"/>
        <v>8</v>
      </c>
      <c r="N221" s="76">
        <v>4</v>
      </c>
      <c r="O221" s="99">
        <f t="shared" si="124"/>
        <v>5</v>
      </c>
      <c r="P221" s="88"/>
      <c r="Q221" s="94" t="s">
        <v>344</v>
      </c>
      <c r="R221" s="95">
        <v>2.88</v>
      </c>
      <c r="S221" s="95"/>
      <c r="T221" s="95"/>
      <c r="U221" s="95">
        <f t="shared" si="120"/>
        <v>2.88</v>
      </c>
      <c r="V221" s="95">
        <v>0.05</v>
      </c>
      <c r="W221" s="95">
        <f t="shared" si="121"/>
        <v>3.024</v>
      </c>
      <c r="X221" s="95">
        <v>0.5</v>
      </c>
      <c r="Y221" s="95">
        <v>0.8</v>
      </c>
    </row>
    <row r="222" spans="1:30" x14ac:dyDescent="0.2">
      <c r="A222" s="210" t="s">
        <v>584</v>
      </c>
      <c r="C222" s="116"/>
      <c r="D222" s="6" t="s">
        <v>187</v>
      </c>
      <c r="E222" s="12" t="s">
        <v>199</v>
      </c>
      <c r="F222" s="34">
        <f>+M222</f>
        <v>20</v>
      </c>
      <c r="G222" s="35">
        <f>+O222</f>
        <v>20</v>
      </c>
      <c r="H222" s="23">
        <v>20</v>
      </c>
      <c r="I222" s="24">
        <v>20</v>
      </c>
      <c r="J222" s="25">
        <v>20</v>
      </c>
      <c r="L222" s="76">
        <v>20</v>
      </c>
      <c r="M222" s="99">
        <f t="shared" si="123"/>
        <v>20</v>
      </c>
      <c r="N222" s="76">
        <v>20</v>
      </c>
      <c r="O222" s="99">
        <f t="shared" si="124"/>
        <v>20</v>
      </c>
      <c r="P222" s="88"/>
      <c r="Q222" s="94" t="s">
        <v>344</v>
      </c>
      <c r="R222" s="95">
        <v>20</v>
      </c>
      <c r="S222" s="95"/>
      <c r="T222" s="95"/>
      <c r="U222" s="95">
        <f t="shared" si="120"/>
        <v>20</v>
      </c>
      <c r="V222" s="95"/>
      <c r="W222" s="95">
        <f t="shared" si="121"/>
        <v>20</v>
      </c>
      <c r="X222" s="95">
        <v>-0.03</v>
      </c>
      <c r="Y222" s="95"/>
    </row>
    <row r="223" spans="1:30" ht="21.75" customHeight="1" x14ac:dyDescent="0.2">
      <c r="A223" s="1"/>
      <c r="B223" s="273" t="s">
        <v>211</v>
      </c>
      <c r="C223" s="274"/>
      <c r="D223" s="274"/>
      <c r="E223" s="274"/>
      <c r="F223" s="274"/>
      <c r="G223" s="274"/>
      <c r="H223" s="274"/>
      <c r="I223" s="274"/>
      <c r="J223" s="274"/>
      <c r="L223" s="73"/>
      <c r="M223" s="180"/>
      <c r="N223" s="73"/>
      <c r="O223" s="180"/>
    </row>
  </sheetData>
  <autoFilter ref="B3:Y223" xr:uid="{5AC0DD5B-5F96-4D16-99A8-5CA61B26A8F5}"/>
  <mergeCells count="5">
    <mergeCell ref="B2:J2"/>
    <mergeCell ref="B111:J111"/>
    <mergeCell ref="B120:J120"/>
    <mergeCell ref="B124:J124"/>
    <mergeCell ref="B223:J223"/>
  </mergeCells>
  <printOptions horizontalCentered="1" gridLines="1"/>
  <pageMargins left="0.15" right="0.15" top="0.6" bottom="0.15" header="0.15" footer="0.15"/>
  <pageSetup scale="89" fitToHeight="0" orientation="portrait" horizontalDpi="1200" verticalDpi="1200" r:id="rId1"/>
  <headerFooter>
    <oddHeader>&amp;C&amp;G</oddHeader>
    <oddFooter>&amp;RUpdated &amp;D</oddFooter>
  </headerFooter>
  <rowBreaks count="3" manualBreakCount="3">
    <brk id="73" min="1" max="8" man="1"/>
    <brk id="140" min="1" max="8" man="1"/>
    <brk id="193" min="1" max="8" man="1"/>
  </rowBreaks>
  <legacy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B38B6-E903-4F9C-8DFB-6721C21F827A}">
  <dimension ref="A1:AB20"/>
  <sheetViews>
    <sheetView topLeftCell="B1" zoomScale="130" zoomScaleNormal="130" workbookViewId="0">
      <selection activeCell="R5" sqref="R5:R16"/>
    </sheetView>
  </sheetViews>
  <sheetFormatPr defaultColWidth="9.140625" defaultRowHeight="12" x14ac:dyDescent="0.2"/>
  <cols>
    <col min="1" max="1" width="19.140625" style="208" customWidth="1"/>
    <col min="2" max="2" width="7" style="59" customWidth="1"/>
    <col min="3" max="3" width="1.85546875" style="54" bestFit="1" customWidth="1"/>
    <col min="4" max="4" width="42.42578125" style="3" bestFit="1" customWidth="1"/>
    <col min="5" max="5" width="11.85546875" style="9" customWidth="1"/>
    <col min="6" max="6" width="10.7109375" style="45" customWidth="1"/>
    <col min="7" max="7" width="10.7109375" style="46" customWidth="1"/>
    <col min="8" max="8" width="10.7109375" style="51" customWidth="1"/>
    <col min="9" max="9" width="10.7109375" style="52" customWidth="1"/>
    <col min="10" max="10" width="10.7109375" style="53" customWidth="1"/>
    <col min="11" max="11" width="0.85546875" style="1" customWidth="1"/>
    <col min="12" max="12" width="7.7109375" style="71" customWidth="1"/>
    <col min="13" max="13" width="9.42578125" style="179" customWidth="1"/>
    <col min="14" max="14" width="7.7109375" style="72" customWidth="1"/>
    <col min="15" max="15" width="7.7109375" style="183" customWidth="1"/>
    <col min="16" max="16" width="9.140625" style="1" hidden="1" customWidth="1"/>
    <col min="17" max="17" width="24.140625" style="3" customWidth="1"/>
    <col min="18" max="23" width="9.140625" style="1"/>
    <col min="24" max="24" width="9.140625" style="1" customWidth="1"/>
    <col min="25" max="25" width="12" style="1" bestFit="1" customWidth="1"/>
    <col min="26" max="16384" width="9.140625" style="1"/>
  </cols>
  <sheetData>
    <row r="1" spans="1:28" x14ac:dyDescent="0.2">
      <c r="B1" s="54"/>
      <c r="H1" s="26">
        <v>0.03</v>
      </c>
      <c r="I1" s="27">
        <v>0.05</v>
      </c>
      <c r="J1" s="28">
        <v>0.06</v>
      </c>
      <c r="Q1" s="93" t="s">
        <v>261</v>
      </c>
      <c r="R1" s="87">
        <v>0.03</v>
      </c>
    </row>
    <row r="2" spans="1:28" ht="23.25" customHeight="1" x14ac:dyDescent="0.3">
      <c r="A2" s="1"/>
      <c r="B2" s="275" t="s">
        <v>483</v>
      </c>
      <c r="C2" s="275"/>
      <c r="D2" s="276"/>
      <c r="E2" s="276"/>
      <c r="F2" s="276"/>
      <c r="G2" s="276"/>
      <c r="H2" s="276"/>
      <c r="I2" s="276"/>
      <c r="J2" s="276"/>
      <c r="L2" s="73"/>
      <c r="M2" s="180"/>
      <c r="N2" s="73"/>
      <c r="O2" s="180"/>
      <c r="Q2" s="196" t="s">
        <v>459</v>
      </c>
    </row>
    <row r="3" spans="1:28" ht="33.75" x14ac:dyDescent="0.2">
      <c r="A3" s="209" t="s">
        <v>489</v>
      </c>
      <c r="B3" s="55" t="s">
        <v>5</v>
      </c>
      <c r="C3" s="113"/>
      <c r="D3" s="121" t="s">
        <v>441</v>
      </c>
      <c r="E3" s="10" t="s">
        <v>21</v>
      </c>
      <c r="F3" s="29" t="s">
        <v>0</v>
      </c>
      <c r="G3" s="30" t="s">
        <v>4</v>
      </c>
      <c r="H3" s="31" t="s">
        <v>1</v>
      </c>
      <c r="I3" s="32" t="s">
        <v>2</v>
      </c>
      <c r="J3" s="33" t="s">
        <v>3</v>
      </c>
      <c r="L3" s="74" t="s">
        <v>442</v>
      </c>
      <c r="M3" s="181" t="s">
        <v>792</v>
      </c>
      <c r="N3" s="75" t="s">
        <v>444</v>
      </c>
      <c r="O3" s="184" t="s">
        <v>793</v>
      </c>
      <c r="Q3" s="3" t="s">
        <v>255</v>
      </c>
      <c r="R3" s="1" t="s">
        <v>256</v>
      </c>
      <c r="S3" s="1" t="s">
        <v>257</v>
      </c>
      <c r="T3" s="1" t="s">
        <v>258</v>
      </c>
      <c r="U3" s="1" t="s">
        <v>259</v>
      </c>
      <c r="V3" s="1" t="s">
        <v>260</v>
      </c>
      <c r="W3" s="1" t="s">
        <v>262</v>
      </c>
      <c r="X3" s="1" t="s">
        <v>263</v>
      </c>
      <c r="Y3" s="1" t="s">
        <v>266</v>
      </c>
      <c r="AA3" s="1" t="s">
        <v>435</v>
      </c>
      <c r="AB3" s="1" t="s">
        <v>436</v>
      </c>
    </row>
    <row r="4" spans="1:28" x14ac:dyDescent="0.2">
      <c r="A4" s="14"/>
      <c r="B4" s="20"/>
      <c r="C4" s="20"/>
      <c r="D4" s="2" t="s">
        <v>231</v>
      </c>
      <c r="E4" s="14"/>
      <c r="F4" s="48"/>
      <c r="G4" s="48"/>
      <c r="H4" s="48"/>
      <c r="I4" s="48"/>
      <c r="J4" s="48"/>
      <c r="L4" s="78"/>
      <c r="M4" s="182"/>
      <c r="N4" s="78"/>
      <c r="O4" s="182"/>
      <c r="P4" s="88"/>
      <c r="U4" s="1">
        <f t="shared" ref="U4:U8" si="0">SUM(R4:T4)</f>
        <v>0</v>
      </c>
      <c r="W4" s="1">
        <f t="shared" ref="W4:W16" si="1">+U4*(1+V4)</f>
        <v>0</v>
      </c>
    </row>
    <row r="5" spans="1:28" x14ac:dyDescent="0.2">
      <c r="A5" s="207" t="s">
        <v>604</v>
      </c>
      <c r="B5" s="61"/>
      <c r="C5" s="118"/>
      <c r="D5" s="8" t="s">
        <v>232</v>
      </c>
      <c r="E5" s="13" t="s">
        <v>188</v>
      </c>
      <c r="F5" s="34">
        <f>+M5</f>
        <v>107.07</v>
      </c>
      <c r="G5" s="35">
        <f>+O5</f>
        <v>76.48</v>
      </c>
      <c r="H5" s="23">
        <f>+G5</f>
        <v>76.48</v>
      </c>
      <c r="I5" s="24">
        <f>+H5</f>
        <v>76.48</v>
      </c>
      <c r="J5" s="25">
        <f>+I5</f>
        <v>76.48</v>
      </c>
      <c r="L5" s="79">
        <v>127.07799999999999</v>
      </c>
      <c r="M5" s="182">
        <f>ROUND(O5*1.4,2)</f>
        <v>107.07</v>
      </c>
      <c r="N5" s="79">
        <v>90.77</v>
      </c>
      <c r="O5" s="182">
        <f>ROUND(R5*1.38,2)</f>
        <v>76.48</v>
      </c>
      <c r="P5" s="88"/>
      <c r="Q5" s="94" t="s">
        <v>325</v>
      </c>
      <c r="R5" s="95">
        <v>55.42</v>
      </c>
      <c r="S5" s="95"/>
      <c r="T5" s="95"/>
      <c r="U5" s="95">
        <f t="shared" si="0"/>
        <v>55.42</v>
      </c>
      <c r="V5" s="95"/>
      <c r="W5" s="95">
        <f t="shared" si="1"/>
        <v>55.42</v>
      </c>
      <c r="X5" s="98" t="s">
        <v>342</v>
      </c>
      <c r="Y5" s="98" t="s">
        <v>343</v>
      </c>
    </row>
    <row r="6" spans="1:28" x14ac:dyDescent="0.2">
      <c r="A6" s="207" t="s">
        <v>605</v>
      </c>
      <c r="B6" s="61"/>
      <c r="C6" s="118"/>
      <c r="D6" s="8" t="s">
        <v>233</v>
      </c>
      <c r="E6" s="12" t="s">
        <v>188</v>
      </c>
      <c r="F6" s="34">
        <f t="shared" ref="F6:F20" si="2">+M6</f>
        <v>139.66</v>
      </c>
      <c r="G6" s="35">
        <f t="shared" ref="G6:G20" si="3">+O6</f>
        <v>99.76</v>
      </c>
      <c r="H6" s="23">
        <f t="shared" ref="H6:J19" si="4">+G6</f>
        <v>99.76</v>
      </c>
      <c r="I6" s="24">
        <f t="shared" si="4"/>
        <v>99.76</v>
      </c>
      <c r="J6" s="25">
        <f t="shared" si="4"/>
        <v>99.76</v>
      </c>
      <c r="L6" s="79">
        <v>158.35399999999998</v>
      </c>
      <c r="M6" s="182">
        <f t="shared" ref="M6:M20" si="5">ROUND(O6*1.4,2)</f>
        <v>139.66</v>
      </c>
      <c r="N6" s="79">
        <v>113.11</v>
      </c>
      <c r="O6" s="182">
        <f t="shared" ref="O6:O20" si="6">ROUND(R6*1.38,2)</f>
        <v>99.76</v>
      </c>
      <c r="P6" s="88"/>
      <c r="Q6" s="94" t="s">
        <v>325</v>
      </c>
      <c r="R6" s="95">
        <v>72.290000000000006</v>
      </c>
      <c r="S6" s="95"/>
      <c r="T6" s="95"/>
      <c r="U6" s="95">
        <f t="shared" si="0"/>
        <v>72.290000000000006</v>
      </c>
      <c r="V6" s="95"/>
      <c r="W6" s="95">
        <f t="shared" si="1"/>
        <v>72.290000000000006</v>
      </c>
      <c r="X6" s="98" t="s">
        <v>342</v>
      </c>
      <c r="Y6" s="98" t="s">
        <v>343</v>
      </c>
    </row>
    <row r="7" spans="1:28" x14ac:dyDescent="0.2">
      <c r="A7" s="207" t="s">
        <v>606</v>
      </c>
      <c r="B7" s="61"/>
      <c r="C7" s="118"/>
      <c r="D7" s="8" t="s">
        <v>234</v>
      </c>
      <c r="E7" s="15" t="s">
        <v>188</v>
      </c>
      <c r="F7" s="34">
        <f t="shared" si="2"/>
        <v>107.07</v>
      </c>
      <c r="G7" s="35">
        <f t="shared" si="3"/>
        <v>76.48</v>
      </c>
      <c r="H7" s="23">
        <f t="shared" si="4"/>
        <v>76.48</v>
      </c>
      <c r="I7" s="24">
        <f t="shared" si="4"/>
        <v>76.48</v>
      </c>
      <c r="J7" s="25">
        <f t="shared" si="4"/>
        <v>76.48</v>
      </c>
      <c r="L7" s="79">
        <v>127.07799999999999</v>
      </c>
      <c r="M7" s="182">
        <f t="shared" si="5"/>
        <v>107.07</v>
      </c>
      <c r="N7" s="79">
        <v>90.77</v>
      </c>
      <c r="O7" s="182">
        <f t="shared" si="6"/>
        <v>76.48</v>
      </c>
      <c r="P7" s="88"/>
      <c r="Q7" s="94" t="s">
        <v>325</v>
      </c>
      <c r="R7" s="95">
        <v>55.42</v>
      </c>
      <c r="S7" s="95"/>
      <c r="T7" s="95"/>
      <c r="U7" s="95">
        <f t="shared" si="0"/>
        <v>55.42</v>
      </c>
      <c r="V7" s="95"/>
      <c r="W7" s="95">
        <f t="shared" si="1"/>
        <v>55.42</v>
      </c>
      <c r="X7" s="98" t="s">
        <v>342</v>
      </c>
      <c r="Y7" s="98" t="s">
        <v>343</v>
      </c>
    </row>
    <row r="8" spans="1:28" x14ac:dyDescent="0.2">
      <c r="A8" s="207" t="s">
        <v>599</v>
      </c>
      <c r="B8" s="61"/>
      <c r="C8" s="118"/>
      <c r="D8" s="8" t="s">
        <v>235</v>
      </c>
      <c r="E8" s="12" t="s">
        <v>188</v>
      </c>
      <c r="F8" s="34">
        <f t="shared" si="2"/>
        <v>13.87</v>
      </c>
      <c r="G8" s="35">
        <f t="shared" si="3"/>
        <v>9.91</v>
      </c>
      <c r="H8" s="23">
        <f t="shared" si="4"/>
        <v>9.91</v>
      </c>
      <c r="I8" s="24">
        <f t="shared" si="4"/>
        <v>9.91</v>
      </c>
      <c r="J8" s="25">
        <f t="shared" si="4"/>
        <v>9.91</v>
      </c>
      <c r="L8" s="79">
        <v>9.5060000000000002</v>
      </c>
      <c r="M8" s="182">
        <f t="shared" si="5"/>
        <v>13.87</v>
      </c>
      <c r="N8" s="79">
        <v>6.79</v>
      </c>
      <c r="O8" s="182">
        <f t="shared" si="6"/>
        <v>9.91</v>
      </c>
      <c r="P8" s="88"/>
      <c r="Q8" s="94" t="s">
        <v>325</v>
      </c>
      <c r="R8" s="95">
        <v>7.18</v>
      </c>
      <c r="S8" s="95"/>
      <c r="T8" s="95"/>
      <c r="U8" s="95">
        <f t="shared" si="0"/>
        <v>7.18</v>
      </c>
      <c r="V8" s="95"/>
      <c r="W8" s="95">
        <f t="shared" si="1"/>
        <v>7.18</v>
      </c>
      <c r="X8" s="98" t="s">
        <v>342</v>
      </c>
      <c r="Y8" s="98" t="s">
        <v>343</v>
      </c>
    </row>
    <row r="9" spans="1:28" x14ac:dyDescent="0.2">
      <c r="A9" s="207" t="s">
        <v>600</v>
      </c>
      <c r="B9" s="61"/>
      <c r="C9" s="118"/>
      <c r="D9" s="8" t="s">
        <v>236</v>
      </c>
      <c r="E9" s="12" t="s">
        <v>188</v>
      </c>
      <c r="F9" s="34">
        <f t="shared" si="2"/>
        <v>12.98</v>
      </c>
      <c r="G9" s="35">
        <f t="shared" si="3"/>
        <v>9.27</v>
      </c>
      <c r="H9" s="23">
        <f t="shared" si="4"/>
        <v>9.27</v>
      </c>
      <c r="I9" s="24">
        <f t="shared" si="4"/>
        <v>9.27</v>
      </c>
      <c r="J9" s="25">
        <f t="shared" si="4"/>
        <v>9.27</v>
      </c>
      <c r="L9" s="79">
        <v>9.8559999999999999</v>
      </c>
      <c r="M9" s="182">
        <f t="shared" si="5"/>
        <v>12.98</v>
      </c>
      <c r="N9" s="79">
        <v>7.04</v>
      </c>
      <c r="O9" s="182">
        <f t="shared" si="6"/>
        <v>9.27</v>
      </c>
      <c r="P9" s="88"/>
      <c r="Q9" s="94" t="s">
        <v>325</v>
      </c>
      <c r="R9" s="95">
        <v>6.72</v>
      </c>
      <c r="S9" s="95"/>
      <c r="T9" s="95"/>
      <c r="U9" s="95">
        <f t="shared" ref="U9:U20" si="7">SUM(R9:T9)</f>
        <v>6.72</v>
      </c>
      <c r="V9" s="95"/>
      <c r="W9" s="95">
        <f t="shared" si="1"/>
        <v>6.72</v>
      </c>
      <c r="X9" s="98" t="s">
        <v>342</v>
      </c>
      <c r="Y9" s="98" t="s">
        <v>343</v>
      </c>
    </row>
    <row r="10" spans="1:28" x14ac:dyDescent="0.2">
      <c r="A10" s="207" t="s">
        <v>611</v>
      </c>
      <c r="B10" s="61"/>
      <c r="C10" s="118"/>
      <c r="D10" s="8" t="s">
        <v>237</v>
      </c>
      <c r="E10" s="12" t="s">
        <v>188</v>
      </c>
      <c r="F10" s="34">
        <f t="shared" si="2"/>
        <v>32.090000000000003</v>
      </c>
      <c r="G10" s="35">
        <f t="shared" si="3"/>
        <v>22.92</v>
      </c>
      <c r="H10" s="23">
        <f t="shared" si="4"/>
        <v>22.92</v>
      </c>
      <c r="I10" s="24">
        <f t="shared" si="4"/>
        <v>22.92</v>
      </c>
      <c r="J10" s="25">
        <f t="shared" si="4"/>
        <v>22.92</v>
      </c>
      <c r="L10" s="79">
        <v>18.2</v>
      </c>
      <c r="M10" s="182">
        <f t="shared" si="5"/>
        <v>32.090000000000003</v>
      </c>
      <c r="N10" s="79">
        <v>13</v>
      </c>
      <c r="O10" s="182">
        <f t="shared" si="6"/>
        <v>22.92</v>
      </c>
      <c r="P10" s="88"/>
      <c r="Q10" s="94" t="s">
        <v>325</v>
      </c>
      <c r="R10" s="95">
        <v>16.61</v>
      </c>
      <c r="S10" s="95"/>
      <c r="T10" s="95"/>
      <c r="U10" s="95">
        <f t="shared" si="7"/>
        <v>16.61</v>
      </c>
      <c r="V10" s="95"/>
      <c r="W10" s="95">
        <f t="shared" si="1"/>
        <v>16.61</v>
      </c>
      <c r="X10" s="98" t="s">
        <v>342</v>
      </c>
      <c r="Y10" s="98" t="s">
        <v>343</v>
      </c>
    </row>
    <row r="11" spans="1:28" x14ac:dyDescent="0.2">
      <c r="A11" s="207" t="s">
        <v>612</v>
      </c>
      <c r="B11" s="61"/>
      <c r="C11" s="118"/>
      <c r="D11" s="8" t="s">
        <v>238</v>
      </c>
      <c r="E11" s="12" t="s">
        <v>188</v>
      </c>
      <c r="F11" s="34">
        <f t="shared" si="2"/>
        <v>17.350000000000001</v>
      </c>
      <c r="G11" s="35">
        <f t="shared" si="3"/>
        <v>12.39</v>
      </c>
      <c r="H11" s="23">
        <f t="shared" si="4"/>
        <v>12.39</v>
      </c>
      <c r="I11" s="24">
        <f t="shared" si="4"/>
        <v>12.39</v>
      </c>
      <c r="J11" s="25">
        <f t="shared" si="4"/>
        <v>12.39</v>
      </c>
      <c r="L11" s="79">
        <v>9.8139999999999983</v>
      </c>
      <c r="M11" s="182">
        <f t="shared" si="5"/>
        <v>17.350000000000001</v>
      </c>
      <c r="N11" s="79">
        <v>7.01</v>
      </c>
      <c r="O11" s="182">
        <f t="shared" si="6"/>
        <v>12.39</v>
      </c>
      <c r="P11" s="88"/>
      <c r="Q11" s="94" t="s">
        <v>325</v>
      </c>
      <c r="R11" s="95">
        <v>8.98</v>
      </c>
      <c r="S11" s="95"/>
      <c r="T11" s="95"/>
      <c r="U11" s="95">
        <f t="shared" si="7"/>
        <v>8.98</v>
      </c>
      <c r="V11" s="95"/>
      <c r="W11" s="95">
        <f t="shared" si="1"/>
        <v>8.98</v>
      </c>
      <c r="X11" s="98" t="s">
        <v>342</v>
      </c>
      <c r="Y11" s="98" t="s">
        <v>343</v>
      </c>
    </row>
    <row r="12" spans="1:28" x14ac:dyDescent="0.2">
      <c r="A12" s="207" t="s">
        <v>598</v>
      </c>
      <c r="B12" s="61"/>
      <c r="C12" s="118"/>
      <c r="D12" s="8" t="s">
        <v>245</v>
      </c>
      <c r="E12" s="12" t="s">
        <v>188</v>
      </c>
      <c r="F12" s="34">
        <f t="shared" si="2"/>
        <v>14.48</v>
      </c>
      <c r="G12" s="35">
        <f t="shared" si="3"/>
        <v>10.34</v>
      </c>
      <c r="H12" s="23">
        <f t="shared" si="4"/>
        <v>10.34</v>
      </c>
      <c r="I12" s="24">
        <f t="shared" si="4"/>
        <v>10.34</v>
      </c>
      <c r="J12" s="25">
        <f t="shared" si="4"/>
        <v>10.34</v>
      </c>
      <c r="L12" s="79">
        <v>13.103999999999999</v>
      </c>
      <c r="M12" s="182">
        <f t="shared" si="5"/>
        <v>14.48</v>
      </c>
      <c r="N12" s="79">
        <v>9.36</v>
      </c>
      <c r="O12" s="182">
        <f t="shared" si="6"/>
        <v>10.34</v>
      </c>
      <c r="P12" s="88"/>
      <c r="Q12" s="94" t="s">
        <v>325</v>
      </c>
      <c r="R12" s="95">
        <v>7.49</v>
      </c>
      <c r="S12" s="95"/>
      <c r="T12" s="95"/>
      <c r="U12" s="95">
        <f t="shared" si="7"/>
        <v>7.49</v>
      </c>
      <c r="V12" s="95"/>
      <c r="W12" s="95">
        <f t="shared" si="1"/>
        <v>7.49</v>
      </c>
      <c r="X12" s="98" t="s">
        <v>342</v>
      </c>
      <c r="Y12" s="98" t="s">
        <v>343</v>
      </c>
    </row>
    <row r="13" spans="1:28" x14ac:dyDescent="0.2">
      <c r="A13" s="207" t="s">
        <v>610</v>
      </c>
      <c r="B13" s="61"/>
      <c r="C13" s="118"/>
      <c r="D13" s="8" t="s">
        <v>246</v>
      </c>
      <c r="E13" s="12" t="s">
        <v>188</v>
      </c>
      <c r="F13" s="34">
        <f t="shared" si="2"/>
        <v>19.52</v>
      </c>
      <c r="G13" s="35">
        <f t="shared" si="3"/>
        <v>13.94</v>
      </c>
      <c r="H13" s="23">
        <f t="shared" si="4"/>
        <v>13.94</v>
      </c>
      <c r="I13" s="24">
        <f t="shared" si="4"/>
        <v>13.94</v>
      </c>
      <c r="J13" s="25">
        <f t="shared" si="4"/>
        <v>13.94</v>
      </c>
      <c r="L13" s="79">
        <v>19.207999999999998</v>
      </c>
      <c r="M13" s="182">
        <f t="shared" si="5"/>
        <v>19.52</v>
      </c>
      <c r="N13" s="79">
        <v>13.72</v>
      </c>
      <c r="O13" s="182">
        <f t="shared" si="6"/>
        <v>13.94</v>
      </c>
      <c r="P13" s="88"/>
      <c r="Q13" s="94" t="s">
        <v>325</v>
      </c>
      <c r="R13" s="95">
        <v>10.1</v>
      </c>
      <c r="S13" s="95"/>
      <c r="T13" s="95"/>
      <c r="U13" s="95">
        <f t="shared" si="7"/>
        <v>10.1</v>
      </c>
      <c r="V13" s="95"/>
      <c r="W13" s="95">
        <f t="shared" si="1"/>
        <v>10.1</v>
      </c>
      <c r="X13" s="98" t="s">
        <v>342</v>
      </c>
      <c r="Y13" s="98" t="s">
        <v>343</v>
      </c>
    </row>
    <row r="14" spans="1:28" x14ac:dyDescent="0.2">
      <c r="A14" s="207" t="s">
        <v>609</v>
      </c>
      <c r="B14" s="61"/>
      <c r="C14" s="118"/>
      <c r="D14" s="8" t="s">
        <v>247</v>
      </c>
      <c r="E14" s="12" t="s">
        <v>188</v>
      </c>
      <c r="F14" s="34">
        <f t="shared" si="2"/>
        <v>13.92</v>
      </c>
      <c r="G14" s="35">
        <f t="shared" si="3"/>
        <v>9.94</v>
      </c>
      <c r="H14" s="23">
        <f t="shared" si="4"/>
        <v>9.94</v>
      </c>
      <c r="I14" s="24">
        <f t="shared" si="4"/>
        <v>9.94</v>
      </c>
      <c r="J14" s="25">
        <f t="shared" si="4"/>
        <v>9.94</v>
      </c>
      <c r="L14" s="79">
        <v>11.536</v>
      </c>
      <c r="M14" s="182">
        <f t="shared" si="5"/>
        <v>13.92</v>
      </c>
      <c r="N14" s="79">
        <v>8.24</v>
      </c>
      <c r="O14" s="182">
        <f t="shared" si="6"/>
        <v>9.94</v>
      </c>
      <c r="P14" s="88"/>
      <c r="Q14" s="94" t="s">
        <v>325</v>
      </c>
      <c r="R14" s="95">
        <v>7.2</v>
      </c>
      <c r="S14" s="95"/>
      <c r="T14" s="95"/>
      <c r="U14" s="95">
        <f t="shared" si="7"/>
        <v>7.2</v>
      </c>
      <c r="V14" s="95"/>
      <c r="W14" s="95">
        <f t="shared" si="1"/>
        <v>7.2</v>
      </c>
      <c r="X14" s="98" t="s">
        <v>342</v>
      </c>
      <c r="Y14" s="98" t="s">
        <v>343</v>
      </c>
    </row>
    <row r="15" spans="1:28" x14ac:dyDescent="0.2">
      <c r="A15" s="207" t="s">
        <v>601</v>
      </c>
      <c r="B15" s="61"/>
      <c r="C15" s="118"/>
      <c r="D15" s="8" t="s">
        <v>244</v>
      </c>
      <c r="E15" s="12" t="s">
        <v>188</v>
      </c>
      <c r="F15" s="34">
        <f t="shared" si="2"/>
        <v>45.56</v>
      </c>
      <c r="G15" s="35">
        <f t="shared" si="3"/>
        <v>32.54</v>
      </c>
      <c r="H15" s="23">
        <f t="shared" si="4"/>
        <v>32.54</v>
      </c>
      <c r="I15" s="24">
        <f t="shared" si="4"/>
        <v>32.54</v>
      </c>
      <c r="J15" s="25">
        <f t="shared" si="4"/>
        <v>32.54</v>
      </c>
      <c r="L15" s="79">
        <v>42.966000000000001</v>
      </c>
      <c r="M15" s="182">
        <f t="shared" si="5"/>
        <v>45.56</v>
      </c>
      <c r="N15" s="79">
        <v>30.69</v>
      </c>
      <c r="O15" s="182">
        <f t="shared" si="6"/>
        <v>32.54</v>
      </c>
      <c r="P15" s="88"/>
      <c r="Q15" s="94" t="s">
        <v>325</v>
      </c>
      <c r="R15" s="95">
        <v>23.58</v>
      </c>
      <c r="S15" s="95"/>
      <c r="T15" s="95"/>
      <c r="U15" s="95">
        <f t="shared" si="7"/>
        <v>23.58</v>
      </c>
      <c r="V15" s="95"/>
      <c r="W15" s="95">
        <f t="shared" si="1"/>
        <v>23.58</v>
      </c>
      <c r="X15" s="98" t="s">
        <v>342</v>
      </c>
      <c r="Y15" s="98" t="s">
        <v>343</v>
      </c>
    </row>
    <row r="16" spans="1:28" x14ac:dyDescent="0.2">
      <c r="A16" s="207" t="s">
        <v>607</v>
      </c>
      <c r="B16" s="61"/>
      <c r="C16" s="118"/>
      <c r="D16" s="8" t="s">
        <v>243</v>
      </c>
      <c r="E16" s="12" t="s">
        <v>188</v>
      </c>
      <c r="F16" s="34">
        <f t="shared" si="2"/>
        <v>31.96</v>
      </c>
      <c r="G16" s="35">
        <f t="shared" si="3"/>
        <v>22.83</v>
      </c>
      <c r="H16" s="23">
        <f t="shared" si="4"/>
        <v>22.83</v>
      </c>
      <c r="I16" s="24">
        <f t="shared" si="4"/>
        <v>22.83</v>
      </c>
      <c r="J16" s="25">
        <f t="shared" si="4"/>
        <v>22.83</v>
      </c>
      <c r="L16" s="79">
        <v>24.527999999999999</v>
      </c>
      <c r="M16" s="182">
        <f t="shared" si="5"/>
        <v>31.96</v>
      </c>
      <c r="N16" s="79">
        <v>17.52</v>
      </c>
      <c r="O16" s="182">
        <f t="shared" si="6"/>
        <v>22.83</v>
      </c>
      <c r="P16" s="88"/>
      <c r="Q16" s="94" t="s">
        <v>325</v>
      </c>
      <c r="R16" s="95">
        <v>16.54</v>
      </c>
      <c r="S16" s="95"/>
      <c r="T16" s="95"/>
      <c r="U16" s="95">
        <f t="shared" si="7"/>
        <v>16.54</v>
      </c>
      <c r="V16" s="95"/>
      <c r="W16" s="95">
        <f t="shared" si="1"/>
        <v>16.54</v>
      </c>
      <c r="X16" s="98" t="s">
        <v>342</v>
      </c>
      <c r="Y16" s="98" t="s">
        <v>343</v>
      </c>
    </row>
    <row r="17" spans="1:25" x14ac:dyDescent="0.2">
      <c r="A17" s="207" t="s">
        <v>608</v>
      </c>
      <c r="B17" s="61"/>
      <c r="C17" s="118"/>
      <c r="D17" s="8" t="s">
        <v>242</v>
      </c>
      <c r="E17" s="12" t="s">
        <v>188</v>
      </c>
      <c r="F17" s="34">
        <f t="shared" si="2"/>
        <v>0</v>
      </c>
      <c r="G17" s="35">
        <f t="shared" si="3"/>
        <v>0</v>
      </c>
      <c r="H17" s="23">
        <f t="shared" si="4"/>
        <v>0</v>
      </c>
      <c r="I17" s="24">
        <f t="shared" si="4"/>
        <v>0</v>
      </c>
      <c r="J17" s="25">
        <f t="shared" si="4"/>
        <v>0</v>
      </c>
      <c r="L17" s="79">
        <v>32.997999999999998</v>
      </c>
      <c r="M17" s="182">
        <f t="shared" si="5"/>
        <v>0</v>
      </c>
      <c r="N17" s="79">
        <v>23.57</v>
      </c>
      <c r="O17" s="182">
        <f t="shared" si="6"/>
        <v>0</v>
      </c>
      <c r="P17" s="88"/>
      <c r="Q17" s="94" t="s">
        <v>325</v>
      </c>
      <c r="R17" s="186"/>
      <c r="S17" s="95"/>
      <c r="T17" s="95"/>
      <c r="U17" s="95">
        <f t="shared" si="7"/>
        <v>0</v>
      </c>
      <c r="V17" s="95"/>
      <c r="W17" s="95">
        <f t="shared" ref="W17:W20" si="8">+U17*(1+V17)</f>
        <v>0</v>
      </c>
      <c r="X17" s="98" t="s">
        <v>342</v>
      </c>
      <c r="Y17" s="98" t="s">
        <v>343</v>
      </c>
    </row>
    <row r="18" spans="1:25" x14ac:dyDescent="0.2">
      <c r="A18" s="207" t="s">
        <v>602</v>
      </c>
      <c r="B18" s="61"/>
      <c r="C18" s="118"/>
      <c r="D18" s="8" t="s">
        <v>239</v>
      </c>
      <c r="E18" s="12" t="s">
        <v>188</v>
      </c>
      <c r="F18" s="34">
        <f t="shared" si="2"/>
        <v>8.08</v>
      </c>
      <c r="G18" s="35">
        <f t="shared" si="3"/>
        <v>5.77</v>
      </c>
      <c r="H18" s="23">
        <f t="shared" si="4"/>
        <v>5.77</v>
      </c>
      <c r="I18" s="24">
        <f t="shared" si="4"/>
        <v>5.77</v>
      </c>
      <c r="J18" s="25">
        <f t="shared" si="4"/>
        <v>5.77</v>
      </c>
      <c r="L18" s="79">
        <v>5.04</v>
      </c>
      <c r="M18" s="182">
        <f t="shared" si="5"/>
        <v>8.08</v>
      </c>
      <c r="N18" s="79">
        <v>3.6</v>
      </c>
      <c r="O18" s="182">
        <f t="shared" si="6"/>
        <v>5.77</v>
      </c>
      <c r="P18" s="88"/>
      <c r="Q18" s="94" t="s">
        <v>325</v>
      </c>
      <c r="R18" s="95">
        <v>4.18</v>
      </c>
      <c r="S18" s="95"/>
      <c r="T18" s="95"/>
      <c r="U18" s="95">
        <f t="shared" si="7"/>
        <v>4.18</v>
      </c>
      <c r="V18" s="95"/>
      <c r="W18" s="95">
        <f t="shared" si="8"/>
        <v>4.18</v>
      </c>
      <c r="X18" s="98" t="s">
        <v>342</v>
      </c>
      <c r="Y18" s="98" t="s">
        <v>343</v>
      </c>
    </row>
    <row r="19" spans="1:25" x14ac:dyDescent="0.2">
      <c r="A19" s="207" t="s">
        <v>613</v>
      </c>
      <c r="B19" s="61"/>
      <c r="C19" s="118"/>
      <c r="D19" s="8" t="s">
        <v>241</v>
      </c>
      <c r="E19" s="12" t="s">
        <v>188</v>
      </c>
      <c r="F19" s="34">
        <f t="shared" si="2"/>
        <v>0</v>
      </c>
      <c r="G19" s="35">
        <f t="shared" si="3"/>
        <v>0</v>
      </c>
      <c r="H19" s="23">
        <f t="shared" si="4"/>
        <v>0</v>
      </c>
      <c r="I19" s="24">
        <f t="shared" si="4"/>
        <v>0</v>
      </c>
      <c r="J19" s="25">
        <f t="shared" si="4"/>
        <v>0</v>
      </c>
      <c r="L19" s="79">
        <v>9.2959999999999994</v>
      </c>
      <c r="M19" s="182">
        <f t="shared" si="5"/>
        <v>0</v>
      </c>
      <c r="N19" s="79">
        <v>6.64</v>
      </c>
      <c r="O19" s="182">
        <f t="shared" si="6"/>
        <v>0</v>
      </c>
      <c r="P19" s="88"/>
      <c r="Q19" s="94" t="s">
        <v>325</v>
      </c>
      <c r="R19" s="186"/>
      <c r="S19" s="95"/>
      <c r="T19" s="95"/>
      <c r="U19" s="95">
        <f t="shared" si="7"/>
        <v>0</v>
      </c>
      <c r="V19" s="95"/>
      <c r="W19" s="95">
        <f t="shared" si="8"/>
        <v>0</v>
      </c>
      <c r="X19" s="98" t="s">
        <v>342</v>
      </c>
      <c r="Y19" s="98" t="s">
        <v>343</v>
      </c>
    </row>
    <row r="20" spans="1:25" x14ac:dyDescent="0.2">
      <c r="A20" s="207" t="s">
        <v>603</v>
      </c>
      <c r="B20" s="61"/>
      <c r="C20" s="118"/>
      <c r="D20" s="8" t="s">
        <v>240</v>
      </c>
      <c r="E20" s="12" t="s">
        <v>188</v>
      </c>
      <c r="F20" s="34">
        <f t="shared" si="2"/>
        <v>26.84</v>
      </c>
      <c r="G20" s="35">
        <f t="shared" si="3"/>
        <v>19.170000000000002</v>
      </c>
      <c r="H20" s="23">
        <f>+G20</f>
        <v>19.170000000000002</v>
      </c>
      <c r="I20" s="24">
        <f>+H20</f>
        <v>19.170000000000002</v>
      </c>
      <c r="J20" s="25">
        <f>+I20</f>
        <v>19.170000000000002</v>
      </c>
      <c r="L20" s="79">
        <v>16.295999999999999</v>
      </c>
      <c r="M20" s="182">
        <f t="shared" si="5"/>
        <v>26.84</v>
      </c>
      <c r="N20" s="79">
        <v>11.64</v>
      </c>
      <c r="O20" s="182">
        <f t="shared" si="6"/>
        <v>19.170000000000002</v>
      </c>
      <c r="P20" s="88"/>
      <c r="Q20" s="94" t="s">
        <v>325</v>
      </c>
      <c r="R20" s="95">
        <v>13.89</v>
      </c>
      <c r="S20" s="95"/>
      <c r="T20" s="95"/>
      <c r="U20" s="95">
        <f t="shared" si="7"/>
        <v>13.89</v>
      </c>
      <c r="V20" s="95"/>
      <c r="W20" s="95">
        <f t="shared" si="8"/>
        <v>13.89</v>
      </c>
      <c r="X20" s="98" t="s">
        <v>342</v>
      </c>
      <c r="Y20" s="98" t="s">
        <v>343</v>
      </c>
    </row>
  </sheetData>
  <autoFilter ref="B3:Y20" xr:uid="{5AC0DD5B-5F96-4D16-99A8-5CA61B26A8F5}"/>
  <mergeCells count="1">
    <mergeCell ref="B2:J2"/>
  </mergeCells>
  <printOptions horizontalCentered="1" gridLines="1"/>
  <pageMargins left="0.15" right="0.15" top="0.6" bottom="0.15" header="0.15" footer="0.15"/>
  <pageSetup scale="89" fitToHeight="0" orientation="portrait" horizontalDpi="1200" verticalDpi="1200" r:id="rId1"/>
  <headerFooter>
    <oddHeader>&amp;C&amp;G</oddHeader>
    <oddFooter>&amp;RUpdated &amp;D</oddFooter>
  </headerFooter>
  <rowBreaks count="1" manualBreakCount="1">
    <brk id="3" min="1" max="8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0DD5B-5F96-4D16-99A8-5CA61B26A8F5}">
  <dimension ref="A1:AB219"/>
  <sheetViews>
    <sheetView workbookViewId="0">
      <pane xSplit="4" ySplit="4" topLeftCell="E14" activePane="bottomRight" state="frozen"/>
      <selection pane="topRight" activeCell="E1" sqref="E1"/>
      <selection pane="bottomLeft" activeCell="A5" sqref="A5"/>
      <selection pane="bottomRight" activeCell="N92" sqref="N92"/>
    </sheetView>
  </sheetViews>
  <sheetFormatPr defaultColWidth="9.140625" defaultRowHeight="12" x14ac:dyDescent="0.2"/>
  <cols>
    <col min="1" max="1" width="19.140625" style="208" customWidth="1"/>
    <col min="2" max="2" width="7" style="59" customWidth="1"/>
    <col min="3" max="3" width="1.85546875" style="54" bestFit="1" customWidth="1"/>
    <col min="4" max="4" width="31.85546875" style="3" customWidth="1"/>
    <col min="5" max="5" width="11.85546875" style="9" customWidth="1"/>
    <col min="6" max="6" width="10.7109375" style="45" customWidth="1"/>
    <col min="7" max="7" width="10.7109375" style="46" customWidth="1"/>
    <col min="8" max="8" width="10.7109375" style="51" customWidth="1"/>
    <col min="9" max="9" width="10.7109375" style="52" customWidth="1"/>
    <col min="10" max="10" width="10.7109375" style="53" customWidth="1"/>
    <col min="11" max="11" width="0.85546875" style="1" customWidth="1"/>
    <col min="12" max="12" width="7.7109375" style="253" customWidth="1"/>
    <col min="13" max="13" width="9.42578125" style="254" bestFit="1" customWidth="1"/>
    <col min="14" max="14" width="7.7109375" style="255" customWidth="1"/>
    <col min="15" max="15" width="11.5703125" style="183" bestFit="1" customWidth="1"/>
    <col min="16" max="16" width="7.28515625" style="1" customWidth="1"/>
    <col min="17" max="17" width="21.28515625" style="3" customWidth="1"/>
    <col min="18" max="23" width="9.140625" style="1"/>
    <col min="24" max="24" width="9.140625" style="1" customWidth="1"/>
    <col min="25" max="25" width="12" style="1" bestFit="1" customWidth="1"/>
    <col min="26" max="16384" width="9.140625" style="1"/>
  </cols>
  <sheetData>
    <row r="1" spans="1:28" x14ac:dyDescent="0.2">
      <c r="B1" s="54"/>
      <c r="H1" s="26">
        <v>0.03</v>
      </c>
      <c r="I1" s="27">
        <v>0.05</v>
      </c>
      <c r="J1" s="28">
        <v>0.06</v>
      </c>
      <c r="Q1" s="93" t="s">
        <v>261</v>
      </c>
      <c r="R1" s="87">
        <v>0.08</v>
      </c>
      <c r="T1" s="261" t="s">
        <v>795</v>
      </c>
    </row>
    <row r="2" spans="1:28" ht="23.25" customHeight="1" x14ac:dyDescent="0.3">
      <c r="A2" s="1"/>
      <c r="B2" s="275" t="s">
        <v>796</v>
      </c>
      <c r="C2" s="275"/>
      <c r="D2" s="276"/>
      <c r="E2" s="276"/>
      <c r="F2" s="276"/>
      <c r="G2" s="276"/>
      <c r="H2" s="276"/>
      <c r="I2" s="276"/>
      <c r="J2" s="276"/>
      <c r="L2" s="256"/>
      <c r="M2" s="257"/>
      <c r="N2" s="256"/>
      <c r="O2" s="180"/>
      <c r="Q2" s="196" t="s">
        <v>459</v>
      </c>
      <c r="T2" s="272" t="s">
        <v>827</v>
      </c>
    </row>
    <row r="3" spans="1:28" ht="33.75" x14ac:dyDescent="0.2">
      <c r="A3" s="209" t="s">
        <v>489</v>
      </c>
      <c r="B3" s="55" t="s">
        <v>5</v>
      </c>
      <c r="C3" s="113"/>
      <c r="D3" s="121" t="s">
        <v>823</v>
      </c>
      <c r="E3" s="10" t="s">
        <v>21</v>
      </c>
      <c r="F3" s="29" t="s">
        <v>0</v>
      </c>
      <c r="G3" s="30" t="s">
        <v>4</v>
      </c>
      <c r="H3" s="31" t="s">
        <v>1</v>
      </c>
      <c r="I3" s="32" t="s">
        <v>2</v>
      </c>
      <c r="J3" s="33" t="s">
        <v>3</v>
      </c>
      <c r="L3" s="74" t="s">
        <v>791</v>
      </c>
      <c r="M3" s="181" t="s">
        <v>792</v>
      </c>
      <c r="N3" s="75" t="s">
        <v>445</v>
      </c>
      <c r="O3" s="184" t="s">
        <v>793</v>
      </c>
      <c r="Q3" s="3" t="s">
        <v>255</v>
      </c>
      <c r="R3" s="1" t="s">
        <v>256</v>
      </c>
      <c r="S3" s="1" t="s">
        <v>257</v>
      </c>
      <c r="T3" s="1" t="s">
        <v>258</v>
      </c>
      <c r="U3" s="1" t="s">
        <v>259</v>
      </c>
      <c r="V3" s="1" t="s">
        <v>260</v>
      </c>
      <c r="W3" s="1" t="s">
        <v>262</v>
      </c>
      <c r="X3" s="1" t="s">
        <v>263</v>
      </c>
      <c r="Y3" s="1" t="s">
        <v>266</v>
      </c>
      <c r="AA3" s="1" t="s">
        <v>435</v>
      </c>
      <c r="AB3" s="1" t="s">
        <v>436</v>
      </c>
    </row>
    <row r="4" spans="1:28" x14ac:dyDescent="0.2">
      <c r="A4" s="11"/>
      <c r="B4" s="20"/>
      <c r="C4" s="114"/>
      <c r="D4" s="5" t="s">
        <v>6</v>
      </c>
      <c r="E4" s="11"/>
      <c r="F4" s="47"/>
      <c r="G4" s="47"/>
      <c r="H4" s="47"/>
      <c r="I4" s="47"/>
      <c r="J4" s="47"/>
      <c r="N4" s="253"/>
      <c r="O4" s="179"/>
      <c r="U4" s="1">
        <f>SUM(R4:T4)</f>
        <v>0</v>
      </c>
      <c r="W4" s="1">
        <f>+U4*(1+V4)</f>
        <v>0</v>
      </c>
    </row>
    <row r="5" spans="1:28" x14ac:dyDescent="0.2">
      <c r="A5" s="212" t="s">
        <v>496</v>
      </c>
      <c r="B5" s="56" t="s">
        <v>7</v>
      </c>
      <c r="C5" s="245"/>
      <c r="D5" s="6" t="s">
        <v>13</v>
      </c>
      <c r="E5" s="12" t="s">
        <v>14</v>
      </c>
      <c r="F5" s="34">
        <f>+M5</f>
        <v>520</v>
      </c>
      <c r="G5" s="35">
        <f>+O5</f>
        <v>371</v>
      </c>
      <c r="H5" s="23">
        <f>$G5*(1-H$1)</f>
        <v>359.87</v>
      </c>
      <c r="I5" s="24">
        <f t="shared" ref="I5:J25" si="0">$G5*(1-I$1)</f>
        <v>352.45</v>
      </c>
      <c r="J5" s="25">
        <f t="shared" si="0"/>
        <v>348.73999999999995</v>
      </c>
      <c r="L5" s="76">
        <v>482</v>
      </c>
      <c r="M5" s="99">
        <f>ROUND(+W5*(1+X5)*(1+Y5)*(1+$R$1),0)</f>
        <v>520</v>
      </c>
      <c r="N5" s="76">
        <v>344</v>
      </c>
      <c r="O5" s="99">
        <f>ROUND(+W5*(1+X5)*(1+$R$1),0)</f>
        <v>371</v>
      </c>
      <c r="Q5" s="94" t="s">
        <v>277</v>
      </c>
      <c r="R5" s="95">
        <v>150</v>
      </c>
      <c r="S5" s="95">
        <v>59</v>
      </c>
      <c r="T5" s="95"/>
      <c r="U5" s="95">
        <f t="shared" ref="U5:U76" si="1">SUM(R5:T5)</f>
        <v>209</v>
      </c>
      <c r="V5" s="95">
        <v>0</v>
      </c>
      <c r="W5" s="95">
        <f t="shared" ref="W5:W76" si="2">+U5*(1+V5)</f>
        <v>209</v>
      </c>
      <c r="X5" s="95">
        <v>0.64400000000000002</v>
      </c>
      <c r="Y5" s="95">
        <v>0.4</v>
      </c>
    </row>
    <row r="6" spans="1:28" x14ac:dyDescent="0.2">
      <c r="A6" s="205" t="s">
        <v>494</v>
      </c>
      <c r="B6" s="57" t="s">
        <v>8</v>
      </c>
      <c r="C6" s="245"/>
      <c r="D6" s="6" t="s">
        <v>15</v>
      </c>
      <c r="E6" s="12" t="s">
        <v>14</v>
      </c>
      <c r="F6" s="34">
        <f>+L6</f>
        <v>463</v>
      </c>
      <c r="G6" s="35">
        <f>+N6</f>
        <v>289</v>
      </c>
      <c r="H6" s="23">
        <f t="shared" ref="H6:J26" si="3">$G6*(1-H$1)</f>
        <v>280.33</v>
      </c>
      <c r="I6" s="24">
        <f t="shared" si="0"/>
        <v>274.55</v>
      </c>
      <c r="J6" s="25">
        <f t="shared" si="0"/>
        <v>271.65999999999997</v>
      </c>
      <c r="L6" s="99">
        <v>463</v>
      </c>
      <c r="M6" s="182">
        <f t="shared" ref="M6:M77" si="4">ROUND(+W6*(1+X6)*(1+Y6)*(1+$R$1),0)</f>
        <v>376</v>
      </c>
      <c r="N6" s="99">
        <v>289</v>
      </c>
      <c r="O6" s="182">
        <f t="shared" ref="O6:O77" si="5">ROUND(+W6*(1+X6)*(1+$R$1),0)</f>
        <v>235</v>
      </c>
      <c r="Q6" s="94" t="s">
        <v>808</v>
      </c>
      <c r="R6" s="95">
        <v>95</v>
      </c>
      <c r="S6" s="95">
        <f>1400/24</f>
        <v>58.333333333333336</v>
      </c>
      <c r="T6" s="95"/>
      <c r="U6" s="95">
        <f t="shared" si="1"/>
        <v>153.33333333333334</v>
      </c>
      <c r="V6" s="95">
        <v>0</v>
      </c>
      <c r="W6" s="95">
        <f t="shared" si="2"/>
        <v>153.33333333333334</v>
      </c>
      <c r="X6" s="95">
        <v>0.42000000000000004</v>
      </c>
      <c r="Y6" s="95">
        <v>0.6</v>
      </c>
    </row>
    <row r="7" spans="1:28" x14ac:dyDescent="0.2">
      <c r="A7" s="205" t="s">
        <v>492</v>
      </c>
      <c r="B7" s="57" t="s">
        <v>9</v>
      </c>
      <c r="C7" s="245"/>
      <c r="D7" s="6" t="s">
        <v>16</v>
      </c>
      <c r="E7" s="12" t="s">
        <v>14</v>
      </c>
      <c r="F7" s="34">
        <f>+L7</f>
        <v>625</v>
      </c>
      <c r="G7" s="35">
        <f>+N7</f>
        <v>463</v>
      </c>
      <c r="H7" s="23">
        <f t="shared" si="3"/>
        <v>449.11</v>
      </c>
      <c r="I7" s="24">
        <f t="shared" si="0"/>
        <v>439.84999999999997</v>
      </c>
      <c r="J7" s="25">
        <f t="shared" si="0"/>
        <v>435.21999999999997</v>
      </c>
      <c r="L7" s="99">
        <v>625</v>
      </c>
      <c r="M7" s="264">
        <f t="shared" si="4"/>
        <v>419</v>
      </c>
      <c r="N7" s="99">
        <v>463</v>
      </c>
      <c r="O7" s="182">
        <f t="shared" si="5"/>
        <v>310</v>
      </c>
      <c r="Q7" s="94" t="s">
        <v>818</v>
      </c>
      <c r="R7" s="95">
        <v>208</v>
      </c>
      <c r="S7" s="95"/>
      <c r="T7" s="95"/>
      <c r="U7" s="95">
        <f t="shared" si="1"/>
        <v>208</v>
      </c>
      <c r="V7" s="95">
        <v>0</v>
      </c>
      <c r="W7" s="95">
        <f t="shared" si="2"/>
        <v>208</v>
      </c>
      <c r="X7" s="95">
        <v>0.38</v>
      </c>
      <c r="Y7" s="95">
        <v>0.35</v>
      </c>
    </row>
    <row r="8" spans="1:28" x14ac:dyDescent="0.2">
      <c r="A8" s="205" t="s">
        <v>490</v>
      </c>
      <c r="B8" s="57" t="s">
        <v>10</v>
      </c>
      <c r="C8" s="245"/>
      <c r="D8" s="6" t="s">
        <v>17</v>
      </c>
      <c r="E8" s="12" t="s">
        <v>14</v>
      </c>
      <c r="F8" s="34">
        <f>+M8</f>
        <v>462</v>
      </c>
      <c r="G8" s="35">
        <f>+O8</f>
        <v>324</v>
      </c>
      <c r="H8" s="23">
        <f t="shared" si="3"/>
        <v>314.27999999999997</v>
      </c>
      <c r="I8" s="24">
        <f t="shared" si="0"/>
        <v>307.8</v>
      </c>
      <c r="J8" s="25">
        <f t="shared" si="0"/>
        <v>304.56</v>
      </c>
      <c r="L8" s="76">
        <v>462</v>
      </c>
      <c r="M8" s="99">
        <f t="shared" si="4"/>
        <v>462</v>
      </c>
      <c r="N8" s="76">
        <v>324</v>
      </c>
      <c r="O8" s="99">
        <f t="shared" si="5"/>
        <v>324</v>
      </c>
      <c r="Q8" s="94" t="s">
        <v>277</v>
      </c>
      <c r="R8" s="95">
        <v>135</v>
      </c>
      <c r="S8" s="95">
        <v>59</v>
      </c>
      <c r="T8" s="95"/>
      <c r="U8" s="95">
        <f t="shared" si="1"/>
        <v>194</v>
      </c>
      <c r="V8" s="95">
        <v>0</v>
      </c>
      <c r="W8" s="95">
        <f t="shared" si="2"/>
        <v>194</v>
      </c>
      <c r="X8" s="95">
        <v>0.54700000000000004</v>
      </c>
      <c r="Y8" s="95">
        <v>0.42499999999999999</v>
      </c>
    </row>
    <row r="9" spans="1:28" x14ac:dyDescent="0.2">
      <c r="A9" s="205" t="s">
        <v>493</v>
      </c>
      <c r="B9" s="57" t="s">
        <v>11</v>
      </c>
      <c r="C9" s="245"/>
      <c r="D9" s="6" t="s">
        <v>18</v>
      </c>
      <c r="E9" s="106" t="s">
        <v>14</v>
      </c>
      <c r="F9" s="34">
        <f>+M9</f>
        <v>439</v>
      </c>
      <c r="G9" s="35">
        <f>+O9</f>
        <v>275</v>
      </c>
      <c r="H9" s="109">
        <f t="shared" si="3"/>
        <v>266.75</v>
      </c>
      <c r="I9" s="110">
        <f t="shared" si="0"/>
        <v>261.25</v>
      </c>
      <c r="J9" s="111">
        <f t="shared" si="0"/>
        <v>258.5</v>
      </c>
      <c r="L9" s="76">
        <v>417</v>
      </c>
      <c r="M9" s="99">
        <f t="shared" si="4"/>
        <v>439</v>
      </c>
      <c r="N9" s="76">
        <v>261</v>
      </c>
      <c r="O9" s="99">
        <f t="shared" si="5"/>
        <v>275</v>
      </c>
      <c r="Q9" s="94" t="s">
        <v>277</v>
      </c>
      <c r="R9" s="95">
        <v>120</v>
      </c>
      <c r="S9" s="95">
        <v>59</v>
      </c>
      <c r="T9" s="95"/>
      <c r="U9" s="95">
        <f t="shared" si="1"/>
        <v>179</v>
      </c>
      <c r="V9" s="95">
        <v>0</v>
      </c>
      <c r="W9" s="95">
        <f t="shared" si="2"/>
        <v>179</v>
      </c>
      <c r="X9" s="95">
        <v>0.42000000000000004</v>
      </c>
      <c r="Y9" s="95">
        <v>0.6</v>
      </c>
    </row>
    <row r="10" spans="1:28" x14ac:dyDescent="0.2">
      <c r="A10" s="204" t="s">
        <v>491</v>
      </c>
      <c r="B10" s="58" t="s">
        <v>12</v>
      </c>
      <c r="C10" s="245"/>
      <c r="D10" s="7" t="s">
        <v>19</v>
      </c>
      <c r="E10" s="112" t="s">
        <v>14</v>
      </c>
      <c r="F10" s="34">
        <f>+L10</f>
        <v>611</v>
      </c>
      <c r="G10" s="35">
        <f>+N10</f>
        <v>382</v>
      </c>
      <c r="H10" s="109">
        <f t="shared" si="3"/>
        <v>370.53999999999996</v>
      </c>
      <c r="I10" s="110">
        <f t="shared" si="0"/>
        <v>362.9</v>
      </c>
      <c r="J10" s="111">
        <f t="shared" si="0"/>
        <v>359.08</v>
      </c>
      <c r="L10" s="99">
        <v>611</v>
      </c>
      <c r="M10" s="264">
        <f t="shared" si="4"/>
        <v>582</v>
      </c>
      <c r="N10" s="99">
        <v>382</v>
      </c>
      <c r="O10" s="182">
        <f t="shared" si="5"/>
        <v>364</v>
      </c>
      <c r="Q10" s="94" t="s">
        <v>290</v>
      </c>
      <c r="R10" s="95">
        <v>135</v>
      </c>
      <c r="S10" s="95">
        <v>50</v>
      </c>
      <c r="T10" s="95"/>
      <c r="U10" s="95">
        <f t="shared" si="1"/>
        <v>185</v>
      </c>
      <c r="V10" s="95">
        <v>0</v>
      </c>
      <c r="W10" s="95">
        <f t="shared" si="2"/>
        <v>185</v>
      </c>
      <c r="X10" s="95">
        <v>0.82200000000000006</v>
      </c>
      <c r="Y10" s="95">
        <v>0.6</v>
      </c>
    </row>
    <row r="11" spans="1:28" x14ac:dyDescent="0.2">
      <c r="A11" s="204" t="s">
        <v>495</v>
      </c>
      <c r="B11" s="58" t="s">
        <v>456</v>
      </c>
      <c r="C11" s="245"/>
      <c r="D11" s="7" t="s">
        <v>457</v>
      </c>
      <c r="E11" s="112" t="s">
        <v>14</v>
      </c>
      <c r="F11" s="34">
        <f>+M11</f>
        <v>586</v>
      </c>
      <c r="G11" s="35">
        <f>+O11</f>
        <v>419</v>
      </c>
      <c r="H11" s="109">
        <f t="shared" si="3"/>
        <v>406.43</v>
      </c>
      <c r="I11" s="110">
        <f t="shared" si="0"/>
        <v>398.04999999999995</v>
      </c>
      <c r="J11" s="111">
        <f t="shared" si="0"/>
        <v>393.85999999999996</v>
      </c>
      <c r="L11" s="77">
        <v>557</v>
      </c>
      <c r="M11" s="99">
        <f t="shared" ref="M11" si="6">ROUND(+W11*(1+X11)*(1+Y11)*(1+$R$1),0)</f>
        <v>586</v>
      </c>
      <c r="N11" s="77">
        <v>398</v>
      </c>
      <c r="O11" s="99">
        <f t="shared" ref="O11" si="7">ROUND(+W11*(1+X11)*(1+$R$1),0)</f>
        <v>419</v>
      </c>
      <c r="Q11" s="94" t="s">
        <v>277</v>
      </c>
      <c r="R11" s="95">
        <v>180</v>
      </c>
      <c r="S11" s="95">
        <v>59</v>
      </c>
      <c r="T11" s="95"/>
      <c r="U11" s="95">
        <f t="shared" ref="U11" si="8">SUM(R11:T11)</f>
        <v>239</v>
      </c>
      <c r="V11" s="95">
        <v>0</v>
      </c>
      <c r="W11" s="95">
        <f t="shared" ref="W11" si="9">+U11*(1+V11)</f>
        <v>239</v>
      </c>
      <c r="X11" s="95">
        <v>0.622</v>
      </c>
      <c r="Y11" s="95">
        <v>0.4</v>
      </c>
    </row>
    <row r="12" spans="1:28" x14ac:dyDescent="0.2">
      <c r="A12" s="14"/>
      <c r="B12" s="20"/>
      <c r="C12" s="20"/>
      <c r="D12" s="2" t="s">
        <v>20</v>
      </c>
      <c r="E12" s="14"/>
      <c r="F12" s="48"/>
      <c r="G12" s="48"/>
      <c r="H12" s="48"/>
      <c r="I12" s="48"/>
      <c r="J12" s="48"/>
      <c r="L12" s="258"/>
      <c r="M12" s="182"/>
      <c r="N12" s="258"/>
      <c r="O12" s="182"/>
      <c r="P12" s="88"/>
      <c r="U12" s="1">
        <f t="shared" si="1"/>
        <v>0</v>
      </c>
      <c r="W12" s="1">
        <f t="shared" si="2"/>
        <v>0</v>
      </c>
    </row>
    <row r="13" spans="1:28" x14ac:dyDescent="0.2">
      <c r="A13" s="205" t="s">
        <v>533</v>
      </c>
      <c r="B13" s="16">
        <v>1</v>
      </c>
      <c r="C13" s="151"/>
      <c r="D13" s="6" t="s">
        <v>431</v>
      </c>
      <c r="E13" s="12" t="s">
        <v>14</v>
      </c>
      <c r="F13" s="34">
        <f t="shared" ref="F13:F21" si="10">+M13</f>
        <v>510</v>
      </c>
      <c r="G13" s="35">
        <f t="shared" ref="G13:G21" si="11">+O13</f>
        <v>393</v>
      </c>
      <c r="H13" s="23">
        <f t="shared" ref="H13:J21" si="12">$G13*(1-H$1)</f>
        <v>381.21</v>
      </c>
      <c r="I13" s="24">
        <f t="shared" si="12"/>
        <v>373.34999999999997</v>
      </c>
      <c r="J13" s="25">
        <f t="shared" si="12"/>
        <v>369.41999999999996</v>
      </c>
      <c r="L13" s="76">
        <v>487</v>
      </c>
      <c r="M13" s="99">
        <f t="shared" ref="M13:M21" si="13">ROUND(+W13*(1+X13)*(1+Y13)*(1+$R$1),0)</f>
        <v>510</v>
      </c>
      <c r="N13" s="76">
        <v>374</v>
      </c>
      <c r="O13" s="99">
        <f t="shared" ref="O13:O21" si="14">ROUND(+W13*(1+X13)*(1+$R$1),0)</f>
        <v>393</v>
      </c>
      <c r="P13" s="88"/>
      <c r="Q13" s="94" t="s">
        <v>446</v>
      </c>
      <c r="R13" s="95">
        <v>165</v>
      </c>
      <c r="S13" s="265">
        <f t="shared" ref="S13:S17" si="15">1000/24</f>
        <v>41.666666666666664</v>
      </c>
      <c r="T13" s="95"/>
      <c r="U13" s="95">
        <f t="shared" ref="U13:U21" si="16">SUM(R13:T13)</f>
        <v>206.66666666666666</v>
      </c>
      <c r="V13" s="95">
        <v>0.05</v>
      </c>
      <c r="W13" s="95">
        <f>+U13*(1+V13)</f>
        <v>217</v>
      </c>
      <c r="X13" s="95">
        <v>0.67500000000000004</v>
      </c>
      <c r="Y13" s="95">
        <v>0.3</v>
      </c>
    </row>
    <row r="14" spans="1:28" x14ac:dyDescent="0.2">
      <c r="A14" s="210" t="s">
        <v>530</v>
      </c>
      <c r="B14" s="16">
        <v>2</v>
      </c>
      <c r="C14" s="116"/>
      <c r="D14" s="6" t="s">
        <v>27</v>
      </c>
      <c r="E14" s="12" t="s">
        <v>14</v>
      </c>
      <c r="F14" s="34">
        <f t="shared" si="10"/>
        <v>501</v>
      </c>
      <c r="G14" s="35">
        <f t="shared" si="11"/>
        <v>386</v>
      </c>
      <c r="H14" s="23">
        <f t="shared" si="12"/>
        <v>374.42</v>
      </c>
      <c r="I14" s="24">
        <f t="shared" si="12"/>
        <v>366.7</v>
      </c>
      <c r="J14" s="25">
        <f t="shared" si="12"/>
        <v>362.84</v>
      </c>
      <c r="L14" s="76">
        <v>478</v>
      </c>
      <c r="M14" s="99">
        <f t="shared" si="13"/>
        <v>501</v>
      </c>
      <c r="N14" s="76">
        <v>368</v>
      </c>
      <c r="O14" s="99">
        <f t="shared" si="14"/>
        <v>386</v>
      </c>
      <c r="P14" s="88"/>
      <c r="Q14" s="94" t="s">
        <v>446</v>
      </c>
      <c r="R14" s="95">
        <v>165</v>
      </c>
      <c r="S14" s="265">
        <f t="shared" si="15"/>
        <v>41.666666666666664</v>
      </c>
      <c r="T14" s="95"/>
      <c r="U14" s="95">
        <f t="shared" si="16"/>
        <v>206.66666666666666</v>
      </c>
      <c r="V14" s="95">
        <v>0.05</v>
      </c>
      <c r="W14" s="95">
        <f t="shared" ref="W14:W21" si="17">+U14*(1+V14)</f>
        <v>217</v>
      </c>
      <c r="X14" s="95">
        <v>0.64500000000000002</v>
      </c>
      <c r="Y14" s="95">
        <v>0.3</v>
      </c>
    </row>
    <row r="15" spans="1:28" x14ac:dyDescent="0.2">
      <c r="A15" s="210" t="s">
        <v>529</v>
      </c>
      <c r="B15" s="16">
        <v>3</v>
      </c>
      <c r="C15" s="116"/>
      <c r="D15" s="6" t="s">
        <v>440</v>
      </c>
      <c r="E15" s="12" t="s">
        <v>14</v>
      </c>
      <c r="F15" s="34">
        <f t="shared" si="10"/>
        <v>645</v>
      </c>
      <c r="G15" s="35">
        <f t="shared" si="11"/>
        <v>496</v>
      </c>
      <c r="H15" s="23">
        <f t="shared" si="12"/>
        <v>481.12</v>
      </c>
      <c r="I15" s="24">
        <f t="shared" si="12"/>
        <v>471.2</v>
      </c>
      <c r="J15" s="25">
        <f t="shared" si="12"/>
        <v>466.23999999999995</v>
      </c>
      <c r="L15" s="76">
        <v>615</v>
      </c>
      <c r="M15" s="99">
        <f t="shared" ref="M15" si="18">ROUND(+W15*(1+X15)*(1+Y15)*(1+$R$1),0)</f>
        <v>645</v>
      </c>
      <c r="N15" s="76">
        <v>473</v>
      </c>
      <c r="O15" s="99">
        <f>ROUND(+W15*(1+X15)*(1+$R$1),0)</f>
        <v>496</v>
      </c>
      <c r="P15" s="88"/>
      <c r="Q15" s="94" t="s">
        <v>446</v>
      </c>
      <c r="R15" s="95">
        <f>165+50</f>
        <v>215</v>
      </c>
      <c r="S15" s="265">
        <f t="shared" si="15"/>
        <v>41.666666666666664</v>
      </c>
      <c r="T15" s="95"/>
      <c r="U15" s="95">
        <f t="shared" ref="U15" si="19">SUM(R15:T15)</f>
        <v>256.66666666666669</v>
      </c>
      <c r="V15" s="95">
        <v>0.05</v>
      </c>
      <c r="W15" s="95">
        <f t="shared" ref="W15" si="20">+U15*(1+V15)</f>
        <v>269.50000000000006</v>
      </c>
      <c r="X15" s="95">
        <v>0.70500000000000007</v>
      </c>
      <c r="Y15" s="95">
        <v>0.3</v>
      </c>
    </row>
    <row r="16" spans="1:28" x14ac:dyDescent="0.2">
      <c r="A16" s="210" t="s">
        <v>528</v>
      </c>
      <c r="B16" s="16">
        <v>4</v>
      </c>
      <c r="C16" s="116"/>
      <c r="D16" s="6" t="s">
        <v>26</v>
      </c>
      <c r="E16" s="12" t="s">
        <v>14</v>
      </c>
      <c r="F16" s="34">
        <f t="shared" si="10"/>
        <v>519</v>
      </c>
      <c r="G16" s="35">
        <f t="shared" si="11"/>
        <v>400</v>
      </c>
      <c r="H16" s="23">
        <f t="shared" si="12"/>
        <v>388</v>
      </c>
      <c r="I16" s="24">
        <f t="shared" si="12"/>
        <v>380</v>
      </c>
      <c r="J16" s="25">
        <f t="shared" si="12"/>
        <v>376</v>
      </c>
      <c r="L16" s="76">
        <v>495</v>
      </c>
      <c r="M16" s="99">
        <f t="shared" si="13"/>
        <v>519</v>
      </c>
      <c r="N16" s="76">
        <v>381</v>
      </c>
      <c r="O16" s="99">
        <f t="shared" si="14"/>
        <v>400</v>
      </c>
      <c r="P16" s="88"/>
      <c r="Q16" s="94" t="s">
        <v>446</v>
      </c>
      <c r="R16" s="95">
        <v>165</v>
      </c>
      <c r="S16" s="265">
        <f t="shared" si="15"/>
        <v>41.666666666666664</v>
      </c>
      <c r="T16" s="95"/>
      <c r="U16" s="95">
        <f t="shared" si="16"/>
        <v>206.66666666666666</v>
      </c>
      <c r="V16" s="95">
        <v>0.05</v>
      </c>
      <c r="W16" s="95">
        <f t="shared" si="17"/>
        <v>217</v>
      </c>
      <c r="X16" s="95">
        <v>0.70500000000000007</v>
      </c>
      <c r="Y16" s="95">
        <v>0.3</v>
      </c>
    </row>
    <row r="17" spans="1:25" x14ac:dyDescent="0.2">
      <c r="A17" s="210" t="s">
        <v>534</v>
      </c>
      <c r="B17" s="16">
        <v>5</v>
      </c>
      <c r="C17" s="116"/>
      <c r="D17" s="6" t="s">
        <v>23</v>
      </c>
      <c r="E17" s="12" t="s">
        <v>14</v>
      </c>
      <c r="F17" s="34">
        <f t="shared" si="10"/>
        <v>498</v>
      </c>
      <c r="G17" s="35">
        <f t="shared" si="11"/>
        <v>384</v>
      </c>
      <c r="H17" s="23">
        <f t="shared" si="12"/>
        <v>372.48</v>
      </c>
      <c r="I17" s="24">
        <f t="shared" si="12"/>
        <v>364.79999999999995</v>
      </c>
      <c r="J17" s="25">
        <f t="shared" si="12"/>
        <v>360.96</v>
      </c>
      <c r="L17" s="76">
        <v>475</v>
      </c>
      <c r="M17" s="99">
        <f t="shared" si="13"/>
        <v>498</v>
      </c>
      <c r="N17" s="76">
        <v>366</v>
      </c>
      <c r="O17" s="99">
        <f t="shared" si="14"/>
        <v>384</v>
      </c>
      <c r="P17" s="88"/>
      <c r="Q17" s="94" t="s">
        <v>322</v>
      </c>
      <c r="R17" s="95">
        <v>160</v>
      </c>
      <c r="S17" s="265">
        <f t="shared" si="15"/>
        <v>41.666666666666664</v>
      </c>
      <c r="T17" s="95"/>
      <c r="U17" s="95">
        <f t="shared" si="16"/>
        <v>201.66666666666666</v>
      </c>
      <c r="V17" s="95">
        <v>0.05</v>
      </c>
      <c r="W17" s="95">
        <f t="shared" si="17"/>
        <v>211.75</v>
      </c>
      <c r="X17" s="95">
        <v>0.68</v>
      </c>
      <c r="Y17" s="95">
        <v>0.29499999999999998</v>
      </c>
    </row>
    <row r="18" spans="1:25" x14ac:dyDescent="0.2">
      <c r="A18" s="210" t="s">
        <v>535</v>
      </c>
      <c r="B18" s="16">
        <v>6</v>
      </c>
      <c r="C18" s="245"/>
      <c r="D18" s="6" t="s">
        <v>25</v>
      </c>
      <c r="E18" s="12" t="s">
        <v>14</v>
      </c>
      <c r="F18" s="34">
        <f t="shared" si="10"/>
        <v>722</v>
      </c>
      <c r="G18" s="35">
        <f t="shared" si="11"/>
        <v>488</v>
      </c>
      <c r="H18" s="23">
        <f t="shared" si="12"/>
        <v>473.36</v>
      </c>
      <c r="I18" s="24">
        <f t="shared" si="12"/>
        <v>463.59999999999997</v>
      </c>
      <c r="J18" s="25">
        <f t="shared" si="12"/>
        <v>458.71999999999997</v>
      </c>
      <c r="L18" s="76">
        <v>666</v>
      </c>
      <c r="M18" s="99">
        <f t="shared" si="13"/>
        <v>722</v>
      </c>
      <c r="N18" s="76">
        <v>450</v>
      </c>
      <c r="O18" s="99">
        <f t="shared" si="14"/>
        <v>488</v>
      </c>
      <c r="P18" s="88"/>
      <c r="Q18" s="94" t="s">
        <v>291</v>
      </c>
      <c r="R18" s="95">
        <v>280</v>
      </c>
      <c r="S18" s="95">
        <f>540/16/1.5</f>
        <v>22.5</v>
      </c>
      <c r="T18" s="95"/>
      <c r="U18" s="95">
        <f t="shared" si="16"/>
        <v>302.5</v>
      </c>
      <c r="V18" s="95">
        <v>0.05</v>
      </c>
      <c r="W18" s="95">
        <f t="shared" si="17"/>
        <v>317.625</v>
      </c>
      <c r="X18" s="95">
        <v>0.42300000000000004</v>
      </c>
      <c r="Y18" s="95">
        <v>0.48</v>
      </c>
    </row>
    <row r="19" spans="1:25" x14ac:dyDescent="0.2">
      <c r="A19" s="210" t="s">
        <v>531</v>
      </c>
      <c r="B19" s="16">
        <v>7</v>
      </c>
      <c r="C19" s="245"/>
      <c r="D19" s="6" t="s">
        <v>24</v>
      </c>
      <c r="E19" s="12" t="s">
        <v>14</v>
      </c>
      <c r="F19" s="34">
        <f t="shared" si="10"/>
        <v>734</v>
      </c>
      <c r="G19" s="35">
        <f t="shared" si="11"/>
        <v>496</v>
      </c>
      <c r="H19" s="23">
        <f t="shared" si="12"/>
        <v>481.12</v>
      </c>
      <c r="I19" s="24">
        <f t="shared" si="12"/>
        <v>471.2</v>
      </c>
      <c r="J19" s="25">
        <f t="shared" si="12"/>
        <v>466.23999999999995</v>
      </c>
      <c r="L19" s="76">
        <v>666</v>
      </c>
      <c r="M19" s="99">
        <f t="shared" si="13"/>
        <v>734</v>
      </c>
      <c r="N19" s="76">
        <v>450</v>
      </c>
      <c r="O19" s="99">
        <f t="shared" si="14"/>
        <v>496</v>
      </c>
      <c r="P19" s="88"/>
      <c r="Q19" s="94" t="s">
        <v>291</v>
      </c>
      <c r="R19" s="95">
        <f>250+35</f>
        <v>285</v>
      </c>
      <c r="S19" s="95">
        <f>540/16/1.5</f>
        <v>22.5</v>
      </c>
      <c r="T19" s="95"/>
      <c r="U19" s="95">
        <f t="shared" si="16"/>
        <v>307.5</v>
      </c>
      <c r="V19" s="95">
        <v>0.05</v>
      </c>
      <c r="W19" s="95">
        <f t="shared" si="17"/>
        <v>322.875</v>
      </c>
      <c r="X19" s="95">
        <v>0.42300000000000004</v>
      </c>
      <c r="Y19" s="95">
        <v>0.48</v>
      </c>
    </row>
    <row r="20" spans="1:25" x14ac:dyDescent="0.2">
      <c r="A20" s="208" t="s">
        <v>536</v>
      </c>
      <c r="B20" s="19">
        <v>8</v>
      </c>
      <c r="C20" s="245"/>
      <c r="D20" s="7" t="s">
        <v>432</v>
      </c>
      <c r="E20" s="12" t="s">
        <v>14</v>
      </c>
      <c r="F20" s="34">
        <f t="shared" si="10"/>
        <v>755</v>
      </c>
      <c r="G20" s="35">
        <f t="shared" si="11"/>
        <v>524</v>
      </c>
      <c r="H20" s="23">
        <f t="shared" si="12"/>
        <v>508.28</v>
      </c>
      <c r="I20" s="24">
        <f t="shared" si="12"/>
        <v>497.79999999999995</v>
      </c>
      <c r="J20" s="25">
        <f t="shared" si="12"/>
        <v>492.55999999999995</v>
      </c>
      <c r="L20" s="76">
        <v>688</v>
      </c>
      <c r="M20" s="99">
        <f t="shared" si="13"/>
        <v>755</v>
      </c>
      <c r="N20" s="76">
        <v>478</v>
      </c>
      <c r="O20" s="99">
        <f t="shared" si="14"/>
        <v>524</v>
      </c>
      <c r="P20" s="88"/>
      <c r="Q20" s="94" t="s">
        <v>291</v>
      </c>
      <c r="R20" s="95">
        <f>280+35</f>
        <v>315</v>
      </c>
      <c r="S20" s="95">
        <f>540/16/1.5</f>
        <v>22.5</v>
      </c>
      <c r="T20" s="95"/>
      <c r="U20" s="95">
        <f t="shared" si="16"/>
        <v>337.5</v>
      </c>
      <c r="V20" s="95">
        <v>0.05</v>
      </c>
      <c r="W20" s="95">
        <f t="shared" si="17"/>
        <v>354.375</v>
      </c>
      <c r="X20" s="95">
        <v>0.37</v>
      </c>
      <c r="Y20" s="95">
        <v>0.44</v>
      </c>
    </row>
    <row r="21" spans="1:25" x14ac:dyDescent="0.2">
      <c r="A21" s="211" t="s">
        <v>532</v>
      </c>
      <c r="B21" s="19">
        <v>9</v>
      </c>
      <c r="C21" s="245"/>
      <c r="D21" s="7" t="s">
        <v>22</v>
      </c>
      <c r="E21" s="13" t="s">
        <v>14</v>
      </c>
      <c r="F21" s="34">
        <f t="shared" si="10"/>
        <v>726</v>
      </c>
      <c r="G21" s="35">
        <f t="shared" si="11"/>
        <v>490</v>
      </c>
      <c r="H21" s="23">
        <f t="shared" si="12"/>
        <v>475.3</v>
      </c>
      <c r="I21" s="24">
        <f t="shared" si="12"/>
        <v>465.5</v>
      </c>
      <c r="J21" s="25">
        <f t="shared" si="12"/>
        <v>460.59999999999997</v>
      </c>
      <c r="L21" s="76">
        <v>691</v>
      </c>
      <c r="M21" s="99">
        <f t="shared" si="13"/>
        <v>726</v>
      </c>
      <c r="N21" s="76">
        <v>467</v>
      </c>
      <c r="O21" s="99">
        <f t="shared" si="14"/>
        <v>490</v>
      </c>
      <c r="P21" s="267"/>
      <c r="Q21" s="94" t="s">
        <v>277</v>
      </c>
      <c r="R21" s="95">
        <v>275</v>
      </c>
      <c r="S21" s="95">
        <v>59</v>
      </c>
      <c r="T21" s="95"/>
      <c r="U21" s="95">
        <f t="shared" si="16"/>
        <v>334</v>
      </c>
      <c r="V21" s="95">
        <v>0.05</v>
      </c>
      <c r="W21" s="95">
        <f t="shared" si="17"/>
        <v>350.7</v>
      </c>
      <c r="X21" s="95">
        <v>0.29499999999999998</v>
      </c>
      <c r="Y21" s="95">
        <v>0.48</v>
      </c>
    </row>
    <row r="22" spans="1:25" x14ac:dyDescent="0.2">
      <c r="A22" s="14"/>
      <c r="B22" s="20"/>
      <c r="C22" s="20"/>
      <c r="D22" s="2" t="s">
        <v>28</v>
      </c>
      <c r="E22" s="14"/>
      <c r="F22" s="48"/>
      <c r="G22" s="48"/>
      <c r="H22" s="48"/>
      <c r="I22" s="48"/>
      <c r="J22" s="48"/>
      <c r="L22" s="258"/>
      <c r="M22" s="182"/>
      <c r="N22" s="258"/>
      <c r="O22" s="182"/>
      <c r="P22" s="88"/>
      <c r="U22" s="1">
        <f t="shared" si="1"/>
        <v>0</v>
      </c>
      <c r="W22" s="1">
        <f t="shared" si="2"/>
        <v>0</v>
      </c>
    </row>
    <row r="23" spans="1:25" x14ac:dyDescent="0.2">
      <c r="A23" s="207" t="s">
        <v>785</v>
      </c>
      <c r="B23" s="61"/>
      <c r="C23" s="245"/>
      <c r="D23" s="8" t="s">
        <v>786</v>
      </c>
      <c r="E23" s="15" t="s">
        <v>196</v>
      </c>
      <c r="F23" s="34">
        <f t="shared" ref="F23" si="21">+L23</f>
        <v>50</v>
      </c>
      <c r="G23" s="35">
        <f t="shared" ref="G23" si="22">+N23</f>
        <v>37</v>
      </c>
      <c r="H23" s="23">
        <f t="shared" si="3"/>
        <v>35.89</v>
      </c>
      <c r="I23" s="24">
        <f t="shared" si="0"/>
        <v>35.15</v>
      </c>
      <c r="J23" s="25">
        <f t="shared" si="0"/>
        <v>34.78</v>
      </c>
      <c r="L23" s="262">
        <v>50</v>
      </c>
      <c r="M23" s="182">
        <f t="shared" si="4"/>
        <v>46</v>
      </c>
      <c r="N23" s="262">
        <v>37</v>
      </c>
      <c r="O23" s="182">
        <f t="shared" si="5"/>
        <v>33</v>
      </c>
      <c r="P23" s="88"/>
      <c r="Q23" s="94" t="s">
        <v>290</v>
      </c>
      <c r="R23" s="95">
        <v>20</v>
      </c>
      <c r="S23" s="95"/>
      <c r="T23" s="95"/>
      <c r="U23" s="95">
        <f t="shared" ref="U23" si="23">SUM(R23:T23)</f>
        <v>20</v>
      </c>
      <c r="V23" s="95">
        <v>0.05</v>
      </c>
      <c r="W23" s="95">
        <f t="shared" ref="W23" si="24">+U23*(1+V23)</f>
        <v>21</v>
      </c>
      <c r="X23" s="95">
        <v>0.46</v>
      </c>
      <c r="Y23" s="95">
        <v>0.39800000000000002</v>
      </c>
    </row>
    <row r="24" spans="1:25" x14ac:dyDescent="0.2">
      <c r="A24" s="207" t="s">
        <v>592</v>
      </c>
      <c r="B24" s="61">
        <v>10</v>
      </c>
      <c r="C24" s="245"/>
      <c r="D24" s="8" t="s">
        <v>29</v>
      </c>
      <c r="E24" s="15" t="s">
        <v>14</v>
      </c>
      <c r="F24" s="34">
        <f t="shared" ref="F24:F28" si="25">+M24</f>
        <v>968</v>
      </c>
      <c r="G24" s="35">
        <f t="shared" ref="G24:G28" si="26">+O24</f>
        <v>692</v>
      </c>
      <c r="H24" s="23">
        <f t="shared" si="3"/>
        <v>671.24</v>
      </c>
      <c r="I24" s="24">
        <f t="shared" si="0"/>
        <v>657.4</v>
      </c>
      <c r="J24" s="25">
        <f t="shared" si="0"/>
        <v>650.48</v>
      </c>
      <c r="L24" s="76">
        <v>986</v>
      </c>
      <c r="M24" s="99">
        <f t="shared" si="4"/>
        <v>968</v>
      </c>
      <c r="N24" s="76">
        <v>705</v>
      </c>
      <c r="O24" s="99">
        <f t="shared" si="5"/>
        <v>692</v>
      </c>
      <c r="P24" s="88"/>
      <c r="Q24" s="94" t="s">
        <v>817</v>
      </c>
      <c r="R24" s="95">
        <v>383</v>
      </c>
      <c r="S24" s="95">
        <f>1200/24</f>
        <v>50</v>
      </c>
      <c r="T24" s="95"/>
      <c r="U24" s="95">
        <f t="shared" si="1"/>
        <v>433</v>
      </c>
      <c r="V24" s="95">
        <v>0.05</v>
      </c>
      <c r="W24" s="95">
        <f t="shared" si="2"/>
        <v>454.65000000000003</v>
      </c>
      <c r="X24" s="95">
        <v>0.41</v>
      </c>
      <c r="Y24" s="95">
        <v>0.39800000000000002</v>
      </c>
    </row>
    <row r="25" spans="1:25" x14ac:dyDescent="0.2">
      <c r="A25" s="207" t="s">
        <v>591</v>
      </c>
      <c r="B25" s="59">
        <v>11</v>
      </c>
      <c r="C25" s="245"/>
      <c r="D25" s="6" t="s">
        <v>30</v>
      </c>
      <c r="E25" s="12" t="s">
        <v>14</v>
      </c>
      <c r="F25" s="34">
        <f t="shared" si="25"/>
        <v>891</v>
      </c>
      <c r="G25" s="35">
        <f t="shared" si="26"/>
        <v>638</v>
      </c>
      <c r="H25" s="23">
        <f t="shared" si="3"/>
        <v>618.86</v>
      </c>
      <c r="I25" s="24">
        <f t="shared" si="0"/>
        <v>606.1</v>
      </c>
      <c r="J25" s="25">
        <f t="shared" si="0"/>
        <v>599.71999999999991</v>
      </c>
      <c r="L25" s="76">
        <v>867</v>
      </c>
      <c r="M25" s="99">
        <f t="shared" si="4"/>
        <v>891</v>
      </c>
      <c r="N25" s="76">
        <v>621</v>
      </c>
      <c r="O25" s="99">
        <f t="shared" si="5"/>
        <v>638</v>
      </c>
      <c r="P25" s="88"/>
      <c r="Q25" s="94" t="s">
        <v>817</v>
      </c>
      <c r="R25" s="95">
        <v>280</v>
      </c>
      <c r="S25" s="95">
        <f>1200/24</f>
        <v>50</v>
      </c>
      <c r="T25" s="95"/>
      <c r="U25" s="95">
        <f t="shared" si="1"/>
        <v>330</v>
      </c>
      <c r="V25" s="95">
        <v>0.05</v>
      </c>
      <c r="W25" s="95">
        <f t="shared" si="2"/>
        <v>346.5</v>
      </c>
      <c r="X25" s="95">
        <v>0.70499999999999996</v>
      </c>
      <c r="Y25" s="95">
        <v>0.39700000000000002</v>
      </c>
    </row>
    <row r="26" spans="1:25" x14ac:dyDescent="0.2">
      <c r="A26" s="207" t="s">
        <v>590</v>
      </c>
      <c r="B26" s="59">
        <v>12</v>
      </c>
      <c r="C26" s="245"/>
      <c r="D26" s="6" t="s">
        <v>31</v>
      </c>
      <c r="E26" s="12" t="s">
        <v>14</v>
      </c>
      <c r="F26" s="34">
        <f t="shared" si="25"/>
        <v>793</v>
      </c>
      <c r="G26" s="35">
        <f t="shared" si="26"/>
        <v>568</v>
      </c>
      <c r="H26" s="23">
        <f t="shared" si="3"/>
        <v>550.96</v>
      </c>
      <c r="I26" s="24">
        <f t="shared" si="3"/>
        <v>539.6</v>
      </c>
      <c r="J26" s="25">
        <f t="shared" si="3"/>
        <v>533.91999999999996</v>
      </c>
      <c r="L26" s="76">
        <v>741</v>
      </c>
      <c r="M26" s="99">
        <f t="shared" si="4"/>
        <v>793</v>
      </c>
      <c r="N26" s="76">
        <v>531</v>
      </c>
      <c r="O26" s="99">
        <f t="shared" si="5"/>
        <v>568</v>
      </c>
      <c r="P26" s="88"/>
      <c r="Q26" s="94" t="s">
        <v>817</v>
      </c>
      <c r="R26" s="95">
        <v>268</v>
      </c>
      <c r="S26" s="95">
        <f>1200/24</f>
        <v>50</v>
      </c>
      <c r="T26" s="95"/>
      <c r="U26" s="95">
        <f t="shared" si="1"/>
        <v>318</v>
      </c>
      <c r="V26" s="95">
        <v>0.05</v>
      </c>
      <c r="W26" s="95">
        <f t="shared" si="2"/>
        <v>333.90000000000003</v>
      </c>
      <c r="X26" s="95">
        <v>0.57499999999999996</v>
      </c>
      <c r="Y26" s="95">
        <v>0.39700000000000002</v>
      </c>
    </row>
    <row r="27" spans="1:25" x14ac:dyDescent="0.2">
      <c r="A27" s="210" t="s">
        <v>594</v>
      </c>
      <c r="B27" s="59">
        <v>13</v>
      </c>
      <c r="C27" s="245"/>
      <c r="D27" s="6" t="s">
        <v>32</v>
      </c>
      <c r="E27" s="12" t="s">
        <v>14</v>
      </c>
      <c r="F27" s="34">
        <f t="shared" si="25"/>
        <v>426</v>
      </c>
      <c r="G27" s="35">
        <f t="shared" si="26"/>
        <v>305</v>
      </c>
      <c r="H27" s="23">
        <f t="shared" ref="H27:J46" si="27">$G27*(1-H$1)</f>
        <v>295.84999999999997</v>
      </c>
      <c r="I27" s="24">
        <f t="shared" si="27"/>
        <v>289.75</v>
      </c>
      <c r="J27" s="25">
        <f t="shared" si="27"/>
        <v>286.7</v>
      </c>
      <c r="L27" s="76">
        <v>362</v>
      </c>
      <c r="M27" s="270">
        <f t="shared" si="4"/>
        <v>426</v>
      </c>
      <c r="N27" s="76">
        <v>259</v>
      </c>
      <c r="O27" s="270">
        <f t="shared" si="5"/>
        <v>305</v>
      </c>
      <c r="P27" s="88"/>
      <c r="Q27" s="94" t="s">
        <v>808</v>
      </c>
      <c r="R27" s="95">
        <v>95</v>
      </c>
      <c r="S27" s="95">
        <f>1400/24</f>
        <v>58.333333333333336</v>
      </c>
      <c r="T27" s="95"/>
      <c r="U27" s="95">
        <f t="shared" si="1"/>
        <v>153.33333333333334</v>
      </c>
      <c r="V27" s="95">
        <v>0.05</v>
      </c>
      <c r="W27" s="95">
        <f t="shared" si="2"/>
        <v>161.00000000000003</v>
      </c>
      <c r="X27" s="95">
        <v>0.755</v>
      </c>
      <c r="Y27" s="95">
        <v>0.39700000000000002</v>
      </c>
    </row>
    <row r="28" spans="1:25" x14ac:dyDescent="0.2">
      <c r="A28" s="210" t="s">
        <v>589</v>
      </c>
      <c r="B28" s="60">
        <v>14</v>
      </c>
      <c r="C28" s="245"/>
      <c r="D28" s="7" t="s">
        <v>33</v>
      </c>
      <c r="E28" s="13" t="s">
        <v>14</v>
      </c>
      <c r="F28" s="34">
        <f t="shared" si="25"/>
        <v>833</v>
      </c>
      <c r="G28" s="35">
        <f t="shared" si="26"/>
        <v>595</v>
      </c>
      <c r="H28" s="23">
        <f t="shared" si="27"/>
        <v>577.15</v>
      </c>
      <c r="I28" s="24">
        <f t="shared" si="27"/>
        <v>565.25</v>
      </c>
      <c r="J28" s="25">
        <f t="shared" si="27"/>
        <v>559.29999999999995</v>
      </c>
      <c r="L28" s="77">
        <v>793</v>
      </c>
      <c r="M28" s="99">
        <f t="shared" si="4"/>
        <v>833</v>
      </c>
      <c r="N28" s="77">
        <v>566</v>
      </c>
      <c r="O28" s="99">
        <f t="shared" si="5"/>
        <v>595</v>
      </c>
      <c r="P28" s="88"/>
      <c r="Q28" s="94" t="s">
        <v>277</v>
      </c>
      <c r="R28" s="95">
        <v>215</v>
      </c>
      <c r="S28" s="95">
        <v>59</v>
      </c>
      <c r="T28" s="95"/>
      <c r="U28" s="95">
        <f t="shared" si="1"/>
        <v>274</v>
      </c>
      <c r="V28" s="95">
        <v>0.05</v>
      </c>
      <c r="W28" s="95">
        <f t="shared" si="2"/>
        <v>287.7</v>
      </c>
      <c r="X28" s="95">
        <v>0.91500000000000004</v>
      </c>
      <c r="Y28" s="95">
        <v>0.4</v>
      </c>
    </row>
    <row r="29" spans="1:25" x14ac:dyDescent="0.2">
      <c r="A29" s="206" t="s">
        <v>593</v>
      </c>
      <c r="B29" s="60">
        <v>15</v>
      </c>
      <c r="C29" s="245"/>
      <c r="D29" s="7" t="s">
        <v>206</v>
      </c>
      <c r="E29" s="13" t="s">
        <v>14</v>
      </c>
      <c r="F29" s="34">
        <f>+L29</f>
        <v>653</v>
      </c>
      <c r="G29" s="35">
        <f>+N29</f>
        <v>344</v>
      </c>
      <c r="H29" s="23">
        <f t="shared" si="27"/>
        <v>333.68</v>
      </c>
      <c r="I29" s="24">
        <f t="shared" si="27"/>
        <v>326.8</v>
      </c>
      <c r="J29" s="25">
        <f t="shared" si="27"/>
        <v>323.35999999999996</v>
      </c>
      <c r="L29" s="100">
        <v>653</v>
      </c>
      <c r="M29" s="182">
        <f t="shared" si="4"/>
        <v>636</v>
      </c>
      <c r="N29" s="100">
        <v>344</v>
      </c>
      <c r="O29" s="182">
        <f t="shared" si="5"/>
        <v>335</v>
      </c>
      <c r="P29" s="88"/>
      <c r="Q29" s="94" t="s">
        <v>817</v>
      </c>
      <c r="R29" s="95">
        <v>126</v>
      </c>
      <c r="S29" s="95">
        <f>1200/24</f>
        <v>50</v>
      </c>
      <c r="T29" s="95"/>
      <c r="U29" s="95">
        <f t="shared" si="1"/>
        <v>176</v>
      </c>
      <c r="V29" s="95">
        <v>0.05</v>
      </c>
      <c r="W29" s="95">
        <f t="shared" si="2"/>
        <v>184.8</v>
      </c>
      <c r="X29" s="95">
        <v>0.67700000000000005</v>
      </c>
      <c r="Y29" s="95">
        <v>0.9</v>
      </c>
    </row>
    <row r="30" spans="1:25" x14ac:dyDescent="0.2">
      <c r="A30" s="14"/>
      <c r="B30" s="20"/>
      <c r="C30" s="20"/>
      <c r="D30" s="2" t="s">
        <v>34</v>
      </c>
      <c r="E30" s="14"/>
      <c r="F30" s="48"/>
      <c r="G30" s="48"/>
      <c r="H30" s="48"/>
      <c r="I30" s="48"/>
      <c r="J30" s="48"/>
      <c r="L30" s="258"/>
      <c r="M30" s="182"/>
      <c r="N30" s="258"/>
      <c r="O30" s="182"/>
      <c r="P30" s="88"/>
      <c r="U30" s="1">
        <f t="shared" si="1"/>
        <v>0</v>
      </c>
      <c r="W30" s="1">
        <f t="shared" si="2"/>
        <v>0</v>
      </c>
    </row>
    <row r="31" spans="1:25" x14ac:dyDescent="0.2">
      <c r="A31" s="207" t="s">
        <v>581</v>
      </c>
      <c r="B31" s="61">
        <v>16</v>
      </c>
      <c r="C31" s="118"/>
      <c r="D31" s="8" t="s">
        <v>35</v>
      </c>
      <c r="E31" s="15" t="s">
        <v>14</v>
      </c>
      <c r="F31" s="34">
        <f t="shared" ref="F31:F41" si="28">+M31</f>
        <v>456</v>
      </c>
      <c r="G31" s="35">
        <f t="shared" ref="G31:G41" si="29">+O31</f>
        <v>339</v>
      </c>
      <c r="H31" s="23">
        <f t="shared" si="27"/>
        <v>328.83</v>
      </c>
      <c r="I31" s="24">
        <f t="shared" si="27"/>
        <v>322.05</v>
      </c>
      <c r="J31" s="25">
        <f t="shared" si="27"/>
        <v>318.65999999999997</v>
      </c>
      <c r="L31" s="79">
        <v>435</v>
      </c>
      <c r="M31" s="99">
        <f t="shared" si="4"/>
        <v>456</v>
      </c>
      <c r="N31" s="79">
        <v>323</v>
      </c>
      <c r="O31" s="99">
        <f t="shared" si="5"/>
        <v>339</v>
      </c>
      <c r="P31" s="88"/>
      <c r="Q31" s="94" t="s">
        <v>322</v>
      </c>
      <c r="R31" s="95">
        <v>145</v>
      </c>
      <c r="S31" s="265">
        <f>1000/24</f>
        <v>41.666666666666664</v>
      </c>
      <c r="T31" s="95"/>
      <c r="U31" s="95">
        <f t="shared" si="1"/>
        <v>186.66666666666666</v>
      </c>
      <c r="V31" s="95">
        <v>0.05</v>
      </c>
      <c r="W31" s="95">
        <f t="shared" si="2"/>
        <v>196</v>
      </c>
      <c r="X31" s="95">
        <v>0.60049999999999992</v>
      </c>
      <c r="Y31" s="95">
        <v>0.34499999999999997</v>
      </c>
    </row>
    <row r="32" spans="1:25" x14ac:dyDescent="0.2">
      <c r="A32" s="207" t="s">
        <v>582</v>
      </c>
      <c r="B32" s="59">
        <v>17</v>
      </c>
      <c r="C32" s="115"/>
      <c r="D32" s="6" t="s">
        <v>36</v>
      </c>
      <c r="E32" s="12" t="s">
        <v>14</v>
      </c>
      <c r="F32" s="34">
        <f t="shared" si="28"/>
        <v>490</v>
      </c>
      <c r="G32" s="35">
        <f t="shared" si="29"/>
        <v>350</v>
      </c>
      <c r="H32" s="23">
        <f t="shared" si="27"/>
        <v>339.5</v>
      </c>
      <c r="I32" s="24">
        <f t="shared" si="27"/>
        <v>332.5</v>
      </c>
      <c r="J32" s="25">
        <f t="shared" si="27"/>
        <v>329</v>
      </c>
      <c r="L32" s="76">
        <v>447</v>
      </c>
      <c r="M32" s="99">
        <f t="shared" si="4"/>
        <v>490</v>
      </c>
      <c r="N32" s="76">
        <v>319</v>
      </c>
      <c r="O32" s="99">
        <f t="shared" si="5"/>
        <v>350</v>
      </c>
      <c r="P32" s="88"/>
      <c r="Q32" s="94" t="s">
        <v>808</v>
      </c>
      <c r="R32" s="95">
        <v>115</v>
      </c>
      <c r="S32" s="95">
        <f>1300/24</f>
        <v>54.166666666666664</v>
      </c>
      <c r="T32" s="95"/>
      <c r="U32" s="95">
        <f t="shared" si="1"/>
        <v>169.16666666666666</v>
      </c>
      <c r="V32" s="95">
        <v>0.05</v>
      </c>
      <c r="W32" s="95">
        <f t="shared" si="2"/>
        <v>177.625</v>
      </c>
      <c r="X32" s="95">
        <v>0.82450000000000001</v>
      </c>
      <c r="Y32" s="95">
        <v>0.4</v>
      </c>
    </row>
    <row r="33" spans="1:25" x14ac:dyDescent="0.2">
      <c r="A33" s="210" t="s">
        <v>580</v>
      </c>
      <c r="B33" s="59">
        <v>18</v>
      </c>
      <c r="C33" s="116"/>
      <c r="D33" s="6" t="s">
        <v>37</v>
      </c>
      <c r="E33" s="12" t="s">
        <v>14</v>
      </c>
      <c r="F33" s="34">
        <f t="shared" si="28"/>
        <v>444</v>
      </c>
      <c r="G33" s="35">
        <f t="shared" si="29"/>
        <v>319</v>
      </c>
      <c r="H33" s="23">
        <f t="shared" si="27"/>
        <v>309.43</v>
      </c>
      <c r="I33" s="24">
        <f t="shared" si="27"/>
        <v>303.05</v>
      </c>
      <c r="J33" s="25">
        <f t="shared" si="27"/>
        <v>299.85999999999996</v>
      </c>
      <c r="L33" s="76">
        <v>424</v>
      </c>
      <c r="M33" s="99">
        <f t="shared" si="4"/>
        <v>444</v>
      </c>
      <c r="N33" s="76">
        <v>304</v>
      </c>
      <c r="O33" s="99">
        <f t="shared" si="5"/>
        <v>319</v>
      </c>
      <c r="P33" s="88"/>
      <c r="Q33" s="94" t="s">
        <v>306</v>
      </c>
      <c r="R33" s="95">
        <v>140</v>
      </c>
      <c r="S33" s="95">
        <f>200/10/1.5</f>
        <v>13.333333333333334</v>
      </c>
      <c r="T33" s="95"/>
      <c r="U33" s="95">
        <f t="shared" si="1"/>
        <v>153.33333333333334</v>
      </c>
      <c r="V33" s="95">
        <v>0.05</v>
      </c>
      <c r="W33" s="95">
        <f t="shared" si="2"/>
        <v>161.00000000000003</v>
      </c>
      <c r="X33" s="95">
        <v>0.83499999999999996</v>
      </c>
      <c r="Y33" s="95">
        <v>0.39200000000000002</v>
      </c>
    </row>
    <row r="34" spans="1:25" x14ac:dyDescent="0.2">
      <c r="A34" s="205" t="s">
        <v>578</v>
      </c>
      <c r="B34" s="59">
        <v>19</v>
      </c>
      <c r="C34" s="245"/>
      <c r="D34" s="6" t="s">
        <v>38</v>
      </c>
      <c r="E34" s="12" t="s">
        <v>14</v>
      </c>
      <c r="F34" s="34">
        <f t="shared" si="28"/>
        <v>486</v>
      </c>
      <c r="G34" s="35">
        <f t="shared" si="29"/>
        <v>347</v>
      </c>
      <c r="H34" s="23">
        <f t="shared" si="27"/>
        <v>336.59</v>
      </c>
      <c r="I34" s="24">
        <f t="shared" si="27"/>
        <v>329.65</v>
      </c>
      <c r="J34" s="25">
        <f t="shared" si="27"/>
        <v>326.18</v>
      </c>
      <c r="L34" s="76">
        <v>463</v>
      </c>
      <c r="M34" s="99">
        <f>ROUND(+W34*(1+X34)*(1+Y34)*(1+$R$1),0)</f>
        <v>486</v>
      </c>
      <c r="N34" s="76">
        <v>331</v>
      </c>
      <c r="O34" s="99">
        <f t="shared" si="5"/>
        <v>347</v>
      </c>
      <c r="P34" s="267"/>
      <c r="Q34" s="94" t="s">
        <v>277</v>
      </c>
      <c r="R34" s="95">
        <v>145</v>
      </c>
      <c r="S34" s="95">
        <v>59</v>
      </c>
      <c r="T34" s="95"/>
      <c r="U34" s="95">
        <f>SUM(R34:T34)</f>
        <v>204</v>
      </c>
      <c r="V34" s="95">
        <v>0.05</v>
      </c>
      <c r="W34" s="95">
        <f t="shared" si="2"/>
        <v>214.20000000000002</v>
      </c>
      <c r="X34" s="95">
        <v>0.5</v>
      </c>
      <c r="Y34" s="95">
        <v>0.4</v>
      </c>
    </row>
    <row r="35" spans="1:25" x14ac:dyDescent="0.2">
      <c r="A35" s="212" t="s">
        <v>577</v>
      </c>
      <c r="B35" s="16">
        <v>20</v>
      </c>
      <c r="C35" s="70"/>
      <c r="D35" s="6" t="s">
        <v>39</v>
      </c>
      <c r="E35" s="12" t="s">
        <v>14</v>
      </c>
      <c r="F35" s="34">
        <f t="shared" si="28"/>
        <v>499</v>
      </c>
      <c r="G35" s="35">
        <f t="shared" si="29"/>
        <v>370</v>
      </c>
      <c r="H35" s="23">
        <f t="shared" si="27"/>
        <v>358.9</v>
      </c>
      <c r="I35" s="24">
        <f t="shared" si="27"/>
        <v>351.5</v>
      </c>
      <c r="J35" s="25">
        <f t="shared" si="27"/>
        <v>347.79999999999995</v>
      </c>
      <c r="L35" s="76">
        <v>459</v>
      </c>
      <c r="M35" s="99">
        <f t="shared" si="4"/>
        <v>499</v>
      </c>
      <c r="N35" s="76">
        <v>341</v>
      </c>
      <c r="O35" s="99">
        <f t="shared" si="5"/>
        <v>370</v>
      </c>
      <c r="P35" s="88"/>
      <c r="Q35" s="94" t="s">
        <v>322</v>
      </c>
      <c r="R35" s="95">
        <v>100</v>
      </c>
      <c r="S35" s="265">
        <f>1000/24</f>
        <v>41.666666666666664</v>
      </c>
      <c r="T35" s="95"/>
      <c r="U35" s="95">
        <f t="shared" si="1"/>
        <v>141.66666666666666</v>
      </c>
      <c r="V35" s="95">
        <v>0.05</v>
      </c>
      <c r="W35" s="95">
        <f t="shared" si="2"/>
        <v>148.75</v>
      </c>
      <c r="X35" s="95">
        <v>1.3045</v>
      </c>
      <c r="Y35" s="95">
        <v>0.34899999999999998</v>
      </c>
    </row>
    <row r="36" spans="1:25" x14ac:dyDescent="0.2">
      <c r="A36" s="211" t="s">
        <v>523</v>
      </c>
      <c r="B36" s="59">
        <v>21</v>
      </c>
      <c r="C36" s="117"/>
      <c r="D36" s="7" t="s">
        <v>48</v>
      </c>
      <c r="E36" s="13" t="s">
        <v>14</v>
      </c>
      <c r="F36" s="34">
        <f t="shared" si="28"/>
        <v>523</v>
      </c>
      <c r="G36" s="35">
        <f t="shared" si="29"/>
        <v>363</v>
      </c>
      <c r="H36" s="23">
        <f t="shared" si="27"/>
        <v>352.11</v>
      </c>
      <c r="I36" s="24">
        <f t="shared" si="27"/>
        <v>344.84999999999997</v>
      </c>
      <c r="J36" s="25">
        <f t="shared" si="27"/>
        <v>341.21999999999997</v>
      </c>
      <c r="L36" s="77">
        <v>419</v>
      </c>
      <c r="M36" s="99">
        <f t="shared" si="4"/>
        <v>523</v>
      </c>
      <c r="N36" s="77">
        <v>290</v>
      </c>
      <c r="O36" s="99">
        <f t="shared" si="5"/>
        <v>363</v>
      </c>
      <c r="P36" s="88"/>
      <c r="Q36" s="94" t="s">
        <v>306</v>
      </c>
      <c r="R36" s="95">
        <v>200</v>
      </c>
      <c r="S36" s="95">
        <f>200/10/1.5</f>
        <v>13.333333333333334</v>
      </c>
      <c r="T36" s="95"/>
      <c r="U36" s="95">
        <f>SUM(R36:T36)</f>
        <v>213.33333333333334</v>
      </c>
      <c r="V36" s="95">
        <v>0.05</v>
      </c>
      <c r="W36" s="95">
        <f t="shared" si="2"/>
        <v>224.00000000000003</v>
      </c>
      <c r="X36" s="95">
        <v>0.5</v>
      </c>
      <c r="Y36" s="95">
        <v>0.441</v>
      </c>
    </row>
    <row r="37" spans="1:25" x14ac:dyDescent="0.2">
      <c r="A37" s="213" t="s">
        <v>579</v>
      </c>
      <c r="C37" s="245"/>
      <c r="D37" s="7" t="s">
        <v>439</v>
      </c>
      <c r="E37" s="13" t="s">
        <v>14</v>
      </c>
      <c r="F37" s="34">
        <f t="shared" si="28"/>
        <v>782</v>
      </c>
      <c r="G37" s="35">
        <f t="shared" si="29"/>
        <v>641</v>
      </c>
      <c r="H37" s="23">
        <f t="shared" si="27"/>
        <v>621.77</v>
      </c>
      <c r="I37" s="24">
        <f t="shared" si="27"/>
        <v>608.94999999999993</v>
      </c>
      <c r="J37" s="25">
        <f t="shared" si="27"/>
        <v>602.54</v>
      </c>
      <c r="L37" s="77">
        <v>745</v>
      </c>
      <c r="M37" s="99">
        <f>ROUND(+W37*(1+X37)*(1+Y37)*(1+$R$1),0)</f>
        <v>782</v>
      </c>
      <c r="N37" s="77">
        <v>611</v>
      </c>
      <c r="O37" s="99">
        <f t="shared" si="5"/>
        <v>641</v>
      </c>
      <c r="P37" s="267"/>
      <c r="Q37" s="94" t="s">
        <v>277</v>
      </c>
      <c r="R37" s="95">
        <v>395</v>
      </c>
      <c r="S37" s="95">
        <v>59</v>
      </c>
      <c r="T37" s="95"/>
      <c r="U37" s="95">
        <f>SUM(R37:T37)</f>
        <v>454</v>
      </c>
      <c r="V37" s="95">
        <v>0.05</v>
      </c>
      <c r="W37" s="95">
        <f t="shared" ref="W37" si="30">+U37*(1+V37)</f>
        <v>476.70000000000005</v>
      </c>
      <c r="X37" s="95">
        <v>0.2445</v>
      </c>
      <c r="Y37" s="95">
        <v>0.22</v>
      </c>
    </row>
    <row r="38" spans="1:25" x14ac:dyDescent="0.2">
      <c r="A38" s="210" t="s">
        <v>575</v>
      </c>
      <c r="C38" s="116"/>
      <c r="D38" s="6" t="s">
        <v>40</v>
      </c>
      <c r="E38" s="12" t="s">
        <v>14</v>
      </c>
      <c r="F38" s="34">
        <f t="shared" si="28"/>
        <v>508</v>
      </c>
      <c r="G38" s="35">
        <f t="shared" si="29"/>
        <v>320</v>
      </c>
      <c r="H38" s="23">
        <f t="shared" si="27"/>
        <v>310.39999999999998</v>
      </c>
      <c r="I38" s="24">
        <f t="shared" si="27"/>
        <v>304</v>
      </c>
      <c r="J38" s="25">
        <f t="shared" si="27"/>
        <v>300.79999999999995</v>
      </c>
      <c r="L38" s="76">
        <v>367</v>
      </c>
      <c r="M38" s="99">
        <f t="shared" si="4"/>
        <v>508</v>
      </c>
      <c r="N38" s="76">
        <v>232</v>
      </c>
      <c r="O38" s="99">
        <f t="shared" si="5"/>
        <v>320</v>
      </c>
      <c r="P38" s="88"/>
      <c r="Q38" s="94" t="s">
        <v>809</v>
      </c>
      <c r="R38" s="95">
        <v>175</v>
      </c>
      <c r="S38" s="95">
        <f>200/10/1.5</f>
        <v>13.333333333333334</v>
      </c>
      <c r="T38" s="95"/>
      <c r="U38" s="95">
        <f t="shared" si="1"/>
        <v>188.33333333333334</v>
      </c>
      <c r="V38" s="95">
        <v>0.05</v>
      </c>
      <c r="W38" s="95">
        <f t="shared" si="2"/>
        <v>197.75000000000003</v>
      </c>
      <c r="X38" s="95">
        <v>0.5</v>
      </c>
      <c r="Y38" s="95">
        <v>0.58499999999999996</v>
      </c>
    </row>
    <row r="39" spans="1:25" x14ac:dyDescent="0.2">
      <c r="A39" s="205" t="s">
        <v>576</v>
      </c>
      <c r="C39" s="245"/>
      <c r="D39" s="6" t="s">
        <v>41</v>
      </c>
      <c r="E39" s="12" t="s">
        <v>14</v>
      </c>
      <c r="F39" s="34">
        <f t="shared" si="28"/>
        <v>355</v>
      </c>
      <c r="G39" s="35">
        <f t="shared" si="29"/>
        <v>245</v>
      </c>
      <c r="H39" s="23">
        <f t="shared" si="27"/>
        <v>237.65</v>
      </c>
      <c r="I39" s="24">
        <f t="shared" si="27"/>
        <v>232.75</v>
      </c>
      <c r="J39" s="25">
        <f t="shared" si="27"/>
        <v>230.29999999999998</v>
      </c>
      <c r="L39" s="76">
        <v>325</v>
      </c>
      <c r="M39" s="270">
        <f t="shared" si="4"/>
        <v>355</v>
      </c>
      <c r="N39" s="76">
        <v>225</v>
      </c>
      <c r="O39" s="270">
        <f>ROUND(+W39*(1+X39)*(1+$R$1),0)</f>
        <v>245</v>
      </c>
      <c r="P39" s="88"/>
      <c r="Q39" s="94" t="s">
        <v>307</v>
      </c>
      <c r="R39" s="95">
        <v>130</v>
      </c>
      <c r="S39" s="186">
        <v>30</v>
      </c>
      <c r="T39" s="95"/>
      <c r="U39" s="95">
        <f t="shared" si="1"/>
        <v>160</v>
      </c>
      <c r="V39" s="95">
        <v>0.05</v>
      </c>
      <c r="W39" s="95">
        <f t="shared" si="2"/>
        <v>168</v>
      </c>
      <c r="X39" s="95">
        <v>0.35</v>
      </c>
      <c r="Y39" s="95">
        <v>0.45</v>
      </c>
    </row>
    <row r="40" spans="1:25" x14ac:dyDescent="0.2">
      <c r="A40" s="12" t="s">
        <v>574</v>
      </c>
      <c r="C40" s="150"/>
      <c r="D40" s="7" t="s">
        <v>42</v>
      </c>
      <c r="E40" s="13" t="s">
        <v>14</v>
      </c>
      <c r="F40" s="34">
        <f t="shared" si="28"/>
        <v>300</v>
      </c>
      <c r="G40" s="35">
        <f t="shared" si="29"/>
        <v>207</v>
      </c>
      <c r="H40" s="23">
        <f t="shared" si="27"/>
        <v>200.79</v>
      </c>
      <c r="I40" s="24">
        <f t="shared" si="27"/>
        <v>196.64999999999998</v>
      </c>
      <c r="J40" s="25">
        <f t="shared" si="27"/>
        <v>194.57999999999998</v>
      </c>
      <c r="L40" s="76">
        <v>251</v>
      </c>
      <c r="M40" s="270">
        <f t="shared" si="4"/>
        <v>300</v>
      </c>
      <c r="N40" s="76">
        <v>173</v>
      </c>
      <c r="O40" s="270">
        <f t="shared" si="5"/>
        <v>207</v>
      </c>
      <c r="P40" s="88"/>
      <c r="Q40" s="94" t="s">
        <v>307</v>
      </c>
      <c r="R40" s="95">
        <v>105</v>
      </c>
      <c r="S40" s="186">
        <v>30</v>
      </c>
      <c r="T40" s="95"/>
      <c r="U40" s="95">
        <f t="shared" si="1"/>
        <v>135</v>
      </c>
      <c r="V40" s="95">
        <v>0.05</v>
      </c>
      <c r="W40" s="95">
        <f t="shared" si="2"/>
        <v>141.75</v>
      </c>
      <c r="X40" s="95">
        <v>0.35</v>
      </c>
      <c r="Y40" s="95">
        <v>0.45</v>
      </c>
    </row>
    <row r="41" spans="1:25" ht="15" x14ac:dyDescent="0.25">
      <c r="A41" s="12" t="s">
        <v>678</v>
      </c>
      <c r="C41" s="150"/>
      <c r="D41" s="7" t="s">
        <v>763</v>
      </c>
      <c r="E41" s="13" t="s">
        <v>14</v>
      </c>
      <c r="F41" s="34">
        <f t="shared" si="28"/>
        <v>316</v>
      </c>
      <c r="G41" s="35">
        <f t="shared" si="29"/>
        <v>218</v>
      </c>
      <c r="H41" s="23">
        <f t="shared" si="27"/>
        <v>211.46</v>
      </c>
      <c r="I41" s="24">
        <f t="shared" si="27"/>
        <v>207.1</v>
      </c>
      <c r="J41" s="25">
        <f t="shared" si="27"/>
        <v>204.92</v>
      </c>
      <c r="K41"/>
      <c r="L41" s="76">
        <v>287</v>
      </c>
      <c r="M41" s="270">
        <f>ROUND(+W41*(1+X41)*(1+Y41)*(1+$R$1),0)</f>
        <v>316</v>
      </c>
      <c r="N41" s="76">
        <v>198</v>
      </c>
      <c r="O41" s="270">
        <f t="shared" si="5"/>
        <v>218</v>
      </c>
      <c r="P41"/>
      <c r="Q41" s="94" t="s">
        <v>307</v>
      </c>
      <c r="R41" s="1">
        <v>120</v>
      </c>
      <c r="S41" s="186">
        <v>30</v>
      </c>
      <c r="U41" s="1">
        <f>SUM(Q41:T41)</f>
        <v>150</v>
      </c>
      <c r="V41" s="1">
        <v>0.05</v>
      </c>
      <c r="W41" s="1">
        <f t="shared" si="2"/>
        <v>157.5</v>
      </c>
      <c r="X41" s="1">
        <v>0.28000000000000003</v>
      </c>
      <c r="Y41" s="1">
        <v>0.45</v>
      </c>
    </row>
    <row r="42" spans="1:25" x14ac:dyDescent="0.2">
      <c r="A42" s="12" t="s">
        <v>679</v>
      </c>
      <c r="C42" s="150"/>
      <c r="D42" s="7" t="s">
        <v>762</v>
      </c>
      <c r="E42" s="13" t="s">
        <v>188</v>
      </c>
      <c r="F42" s="34">
        <f>+M42</f>
        <v>1998</v>
      </c>
      <c r="G42" s="35">
        <f>+O42</f>
        <v>1738</v>
      </c>
      <c r="H42" s="23">
        <f t="shared" si="27"/>
        <v>1685.86</v>
      </c>
      <c r="I42" s="24">
        <f t="shared" si="27"/>
        <v>1651.1</v>
      </c>
      <c r="J42" s="25">
        <f t="shared" si="27"/>
        <v>1633.7199999999998</v>
      </c>
      <c r="L42" s="76">
        <v>912</v>
      </c>
      <c r="M42" s="270">
        <f>ROUND(+W42*(1+X42)*(1+Y42)*(1+$R$1),0)</f>
        <v>1998</v>
      </c>
      <c r="N42" s="76">
        <v>750</v>
      </c>
      <c r="O42" s="270">
        <f t="shared" si="5"/>
        <v>1738</v>
      </c>
      <c r="P42" s="88"/>
      <c r="Q42" s="94" t="s">
        <v>810</v>
      </c>
      <c r="R42" s="95">
        <v>900</v>
      </c>
      <c r="S42" s="186">
        <v>30</v>
      </c>
      <c r="T42" s="95"/>
      <c r="U42" s="1">
        <f>SUM(Q42:T42)</f>
        <v>930</v>
      </c>
      <c r="W42" s="1">
        <f t="shared" ref="W42" si="31">+U42*(1+V42)</f>
        <v>930</v>
      </c>
      <c r="X42" s="1">
        <v>0.73</v>
      </c>
      <c r="Y42" s="1">
        <v>0.15</v>
      </c>
    </row>
    <row r="43" spans="1:25" x14ac:dyDescent="0.2">
      <c r="A43" s="14"/>
      <c r="B43" s="20"/>
      <c r="C43" s="20"/>
      <c r="D43" s="2" t="s">
        <v>43</v>
      </c>
      <c r="E43" s="14"/>
      <c r="F43" s="48"/>
      <c r="G43" s="48"/>
      <c r="H43" s="48"/>
      <c r="I43" s="48"/>
      <c r="J43" s="48"/>
      <c r="L43" s="258"/>
      <c r="M43" s="182"/>
      <c r="N43" s="258"/>
      <c r="O43" s="182"/>
      <c r="P43" s="88"/>
      <c r="U43" s="1">
        <f t="shared" si="1"/>
        <v>0</v>
      </c>
      <c r="W43" s="1">
        <f t="shared" si="2"/>
        <v>0</v>
      </c>
    </row>
    <row r="44" spans="1:25" x14ac:dyDescent="0.2">
      <c r="A44" s="207" t="s">
        <v>525</v>
      </c>
      <c r="B44" s="61">
        <v>22</v>
      </c>
      <c r="C44" s="150"/>
      <c r="D44" s="8" t="s">
        <v>44</v>
      </c>
      <c r="E44" s="15" t="s">
        <v>14</v>
      </c>
      <c r="F44" s="34">
        <f t="shared" ref="F44:F49" si="32">+M44</f>
        <v>627</v>
      </c>
      <c r="G44" s="35">
        <f t="shared" ref="G44:G49" si="33">+O44</f>
        <v>418</v>
      </c>
      <c r="H44" s="23">
        <f t="shared" si="27"/>
        <v>405.46</v>
      </c>
      <c r="I44" s="24">
        <f t="shared" si="27"/>
        <v>397.09999999999997</v>
      </c>
      <c r="J44" s="25">
        <f t="shared" si="27"/>
        <v>392.91999999999996</v>
      </c>
      <c r="L44" s="79">
        <v>575</v>
      </c>
      <c r="M44" s="99">
        <f t="shared" si="4"/>
        <v>627</v>
      </c>
      <c r="N44" s="79">
        <v>383</v>
      </c>
      <c r="O44" s="99">
        <f t="shared" si="5"/>
        <v>418</v>
      </c>
      <c r="P44" s="88"/>
      <c r="Q44" s="94" t="s">
        <v>291</v>
      </c>
      <c r="R44" s="95">
        <v>235</v>
      </c>
      <c r="S44" s="95">
        <f t="shared" ref="S44:S49" si="34">540/16/1.5</f>
        <v>22.5</v>
      </c>
      <c r="T44" s="95"/>
      <c r="U44" s="95">
        <f t="shared" si="1"/>
        <v>257.5</v>
      </c>
      <c r="V44" s="95">
        <v>0.05</v>
      </c>
      <c r="W44" s="95">
        <f t="shared" si="2"/>
        <v>270.375</v>
      </c>
      <c r="X44" s="95">
        <v>0.432</v>
      </c>
      <c r="Y44" s="95">
        <v>0.5</v>
      </c>
    </row>
    <row r="45" spans="1:25" x14ac:dyDescent="0.2">
      <c r="A45" s="210" t="s">
        <v>524</v>
      </c>
      <c r="B45" s="59">
        <v>23</v>
      </c>
      <c r="C45" s="150"/>
      <c r="D45" s="6" t="s">
        <v>45</v>
      </c>
      <c r="E45" s="12" t="s">
        <v>14</v>
      </c>
      <c r="F45" s="34">
        <f t="shared" si="32"/>
        <v>605</v>
      </c>
      <c r="G45" s="35">
        <f t="shared" si="33"/>
        <v>403</v>
      </c>
      <c r="H45" s="23">
        <f t="shared" si="27"/>
        <v>390.90999999999997</v>
      </c>
      <c r="I45" s="24">
        <f t="shared" si="27"/>
        <v>382.84999999999997</v>
      </c>
      <c r="J45" s="25">
        <f t="shared" si="27"/>
        <v>378.82</v>
      </c>
      <c r="L45" s="76">
        <v>553</v>
      </c>
      <c r="M45" s="99">
        <f t="shared" si="4"/>
        <v>605</v>
      </c>
      <c r="N45" s="76">
        <v>369</v>
      </c>
      <c r="O45" s="99">
        <f t="shared" si="5"/>
        <v>403</v>
      </c>
      <c r="P45" s="88"/>
      <c r="Q45" s="94" t="s">
        <v>291</v>
      </c>
      <c r="R45" s="95">
        <v>225</v>
      </c>
      <c r="S45" s="95">
        <f t="shared" si="34"/>
        <v>22.5</v>
      </c>
      <c r="T45" s="95"/>
      <c r="U45" s="95">
        <f t="shared" si="1"/>
        <v>247.5</v>
      </c>
      <c r="V45" s="95">
        <v>0.05</v>
      </c>
      <c r="W45" s="95">
        <f t="shared" si="2"/>
        <v>259.875</v>
      </c>
      <c r="X45" s="95">
        <v>0.436</v>
      </c>
      <c r="Y45" s="95">
        <v>0.5</v>
      </c>
    </row>
    <row r="46" spans="1:25" x14ac:dyDescent="0.2">
      <c r="A46" s="210" t="s">
        <v>521</v>
      </c>
      <c r="B46" s="59">
        <v>24</v>
      </c>
      <c r="C46" s="150"/>
      <c r="D46" s="6" t="s">
        <v>46</v>
      </c>
      <c r="E46" s="12" t="s">
        <v>14</v>
      </c>
      <c r="F46" s="34">
        <f t="shared" si="32"/>
        <v>639</v>
      </c>
      <c r="G46" s="35">
        <f t="shared" si="33"/>
        <v>426</v>
      </c>
      <c r="H46" s="23">
        <f t="shared" si="27"/>
        <v>413.21999999999997</v>
      </c>
      <c r="I46" s="24">
        <f t="shared" si="27"/>
        <v>404.7</v>
      </c>
      <c r="J46" s="25">
        <f t="shared" si="27"/>
        <v>400.44</v>
      </c>
      <c r="L46" s="76">
        <v>575</v>
      </c>
      <c r="M46" s="99">
        <f t="shared" si="4"/>
        <v>639</v>
      </c>
      <c r="N46" s="76">
        <v>383</v>
      </c>
      <c r="O46" s="99">
        <f t="shared" si="5"/>
        <v>426</v>
      </c>
      <c r="P46" s="88"/>
      <c r="Q46" s="94" t="s">
        <v>291</v>
      </c>
      <c r="R46" s="95">
        <f>205+35</f>
        <v>240</v>
      </c>
      <c r="S46" s="95">
        <f t="shared" si="34"/>
        <v>22.5</v>
      </c>
      <c r="T46" s="95"/>
      <c r="U46" s="95">
        <f t="shared" si="1"/>
        <v>262.5</v>
      </c>
      <c r="V46" s="95">
        <v>0.05</v>
      </c>
      <c r="W46" s="95">
        <f t="shared" si="2"/>
        <v>275.625</v>
      </c>
      <c r="X46" s="95">
        <v>0.432</v>
      </c>
      <c r="Y46" s="95">
        <v>0.5</v>
      </c>
    </row>
    <row r="47" spans="1:25" x14ac:dyDescent="0.2">
      <c r="A47" s="210" t="s">
        <v>522</v>
      </c>
      <c r="B47" s="59">
        <v>25</v>
      </c>
      <c r="C47" s="150"/>
      <c r="D47" s="6" t="s">
        <v>47</v>
      </c>
      <c r="E47" s="12" t="s">
        <v>14</v>
      </c>
      <c r="F47" s="34">
        <f t="shared" si="32"/>
        <v>617</v>
      </c>
      <c r="G47" s="35">
        <f t="shared" si="33"/>
        <v>411</v>
      </c>
      <c r="H47" s="23">
        <f t="shared" ref="H47:J62" si="35">$G47*(1-H$1)</f>
        <v>398.67</v>
      </c>
      <c r="I47" s="24">
        <f t="shared" si="35"/>
        <v>390.45</v>
      </c>
      <c r="J47" s="25">
        <f t="shared" si="35"/>
        <v>386.34</v>
      </c>
      <c r="L47" s="76">
        <v>553</v>
      </c>
      <c r="M47" s="99">
        <f t="shared" si="4"/>
        <v>617</v>
      </c>
      <c r="N47" s="76">
        <v>369</v>
      </c>
      <c r="O47" s="99">
        <f t="shared" si="5"/>
        <v>411</v>
      </c>
      <c r="P47" s="88"/>
      <c r="Q47" s="94" t="s">
        <v>291</v>
      </c>
      <c r="R47" s="95">
        <f>195+35</f>
        <v>230</v>
      </c>
      <c r="S47" s="95">
        <f t="shared" si="34"/>
        <v>22.5</v>
      </c>
      <c r="T47" s="95"/>
      <c r="U47" s="95">
        <f t="shared" si="1"/>
        <v>252.5</v>
      </c>
      <c r="V47" s="95">
        <v>0.05</v>
      </c>
      <c r="W47" s="95">
        <f t="shared" si="2"/>
        <v>265.125</v>
      </c>
      <c r="X47" s="95">
        <v>0.436</v>
      </c>
      <c r="Y47" s="95">
        <v>0.5</v>
      </c>
    </row>
    <row r="48" spans="1:25" x14ac:dyDescent="0.2">
      <c r="A48" s="210" t="s">
        <v>526</v>
      </c>
      <c r="B48" s="59">
        <v>26</v>
      </c>
      <c r="C48" s="150"/>
      <c r="D48" s="6" t="s">
        <v>250</v>
      </c>
      <c r="E48" s="12" t="s">
        <v>14</v>
      </c>
      <c r="F48" s="34">
        <f t="shared" si="32"/>
        <v>692</v>
      </c>
      <c r="G48" s="35">
        <f t="shared" si="33"/>
        <v>461</v>
      </c>
      <c r="H48" s="23">
        <f t="shared" si="35"/>
        <v>447.17</v>
      </c>
      <c r="I48" s="24">
        <f t="shared" si="35"/>
        <v>437.95</v>
      </c>
      <c r="J48" s="25">
        <f t="shared" si="35"/>
        <v>433.34</v>
      </c>
      <c r="L48" s="76">
        <v>626</v>
      </c>
      <c r="M48" s="99">
        <f t="shared" si="4"/>
        <v>692</v>
      </c>
      <c r="N48" s="76">
        <v>417</v>
      </c>
      <c r="O48" s="99">
        <f t="shared" si="5"/>
        <v>461</v>
      </c>
      <c r="P48" s="88"/>
      <c r="Q48" s="94" t="s">
        <v>291</v>
      </c>
      <c r="R48" s="95">
        <f>235+35</f>
        <v>270</v>
      </c>
      <c r="S48" s="95">
        <f t="shared" si="34"/>
        <v>22.5</v>
      </c>
      <c r="T48" s="95"/>
      <c r="U48" s="95">
        <f t="shared" si="1"/>
        <v>292.5</v>
      </c>
      <c r="V48" s="95">
        <v>0.05</v>
      </c>
      <c r="W48" s="95">
        <f t="shared" si="2"/>
        <v>307.125</v>
      </c>
      <c r="X48" s="95">
        <v>0.39100000000000001</v>
      </c>
      <c r="Y48" s="95">
        <v>0.5</v>
      </c>
    </row>
    <row r="49" spans="1:25" x14ac:dyDescent="0.2">
      <c r="A49" s="210" t="s">
        <v>527</v>
      </c>
      <c r="B49" s="59">
        <v>27</v>
      </c>
      <c r="C49" s="150"/>
      <c r="D49" s="6" t="s">
        <v>251</v>
      </c>
      <c r="E49" s="12" t="s">
        <v>14</v>
      </c>
      <c r="F49" s="34">
        <f t="shared" si="32"/>
        <v>670</v>
      </c>
      <c r="G49" s="35">
        <f t="shared" si="33"/>
        <v>447</v>
      </c>
      <c r="H49" s="23">
        <f t="shared" si="35"/>
        <v>433.59</v>
      </c>
      <c r="I49" s="24">
        <f t="shared" si="35"/>
        <v>424.65</v>
      </c>
      <c r="J49" s="25">
        <f t="shared" si="35"/>
        <v>420.17999999999995</v>
      </c>
      <c r="L49" s="76">
        <v>605</v>
      </c>
      <c r="M49" s="99">
        <f t="shared" si="4"/>
        <v>670</v>
      </c>
      <c r="N49" s="76">
        <v>404</v>
      </c>
      <c r="O49" s="99">
        <f t="shared" si="5"/>
        <v>447</v>
      </c>
      <c r="P49" s="88"/>
      <c r="Q49" s="94" t="s">
        <v>291</v>
      </c>
      <c r="R49" s="95">
        <f>225+35</f>
        <v>260</v>
      </c>
      <c r="S49" s="95">
        <f t="shared" si="34"/>
        <v>22.5</v>
      </c>
      <c r="T49" s="95"/>
      <c r="U49" s="95">
        <f t="shared" si="1"/>
        <v>282.5</v>
      </c>
      <c r="V49" s="95">
        <v>0.05</v>
      </c>
      <c r="W49" s="95">
        <f t="shared" si="2"/>
        <v>296.625</v>
      </c>
      <c r="X49" s="95">
        <v>0.39500000000000002</v>
      </c>
      <c r="Y49" s="95">
        <v>0.5</v>
      </c>
    </row>
    <row r="50" spans="1:25" x14ac:dyDescent="0.2">
      <c r="A50" s="14"/>
      <c r="B50" s="20"/>
      <c r="C50" s="20"/>
      <c r="D50" s="2" t="s">
        <v>49</v>
      </c>
      <c r="E50" s="14"/>
      <c r="F50" s="48"/>
      <c r="G50" s="48"/>
      <c r="H50" s="48"/>
      <c r="I50" s="48"/>
      <c r="J50" s="48"/>
      <c r="L50" s="258"/>
      <c r="M50" s="182"/>
      <c r="N50" s="258"/>
      <c r="O50" s="182"/>
      <c r="P50" s="88"/>
      <c r="U50" s="1">
        <f t="shared" si="1"/>
        <v>0</v>
      </c>
      <c r="W50" s="1">
        <f t="shared" si="2"/>
        <v>0</v>
      </c>
    </row>
    <row r="51" spans="1:25" x14ac:dyDescent="0.2">
      <c r="A51" s="210" t="s">
        <v>538</v>
      </c>
      <c r="B51" s="59">
        <v>28</v>
      </c>
      <c r="C51" s="116"/>
      <c r="D51" s="6" t="s">
        <v>51</v>
      </c>
      <c r="E51" s="12" t="s">
        <v>14</v>
      </c>
      <c r="F51" s="34">
        <f t="shared" ref="F51:F66" si="36">+M51</f>
        <v>494</v>
      </c>
      <c r="G51" s="35">
        <f t="shared" ref="G51:G66" si="37">+O51</f>
        <v>353</v>
      </c>
      <c r="H51" s="23">
        <f t="shared" si="35"/>
        <v>342.40999999999997</v>
      </c>
      <c r="I51" s="24">
        <f t="shared" si="35"/>
        <v>335.34999999999997</v>
      </c>
      <c r="J51" s="25">
        <f t="shared" si="35"/>
        <v>331.82</v>
      </c>
      <c r="L51" s="76">
        <v>484</v>
      </c>
      <c r="M51" s="99">
        <f t="shared" si="4"/>
        <v>494</v>
      </c>
      <c r="N51" s="76">
        <v>346</v>
      </c>
      <c r="O51" s="99">
        <f t="shared" si="5"/>
        <v>353</v>
      </c>
      <c r="P51" s="88"/>
      <c r="Q51" s="94" t="s">
        <v>446</v>
      </c>
      <c r="R51" s="95">
        <v>150</v>
      </c>
      <c r="S51" s="265">
        <f>1000/24</f>
        <v>41.666666666666664</v>
      </c>
      <c r="T51" s="95"/>
      <c r="U51" s="95">
        <f t="shared" si="1"/>
        <v>191.66666666666666</v>
      </c>
      <c r="V51" s="95">
        <v>0.05</v>
      </c>
      <c r="W51" s="95">
        <f t="shared" si="2"/>
        <v>201.25</v>
      </c>
      <c r="X51" s="95">
        <v>0.625</v>
      </c>
      <c r="Y51" s="95">
        <v>0.4</v>
      </c>
    </row>
    <row r="52" spans="1:25" x14ac:dyDescent="0.2">
      <c r="A52" s="210" t="s">
        <v>540</v>
      </c>
      <c r="B52" s="59">
        <v>29</v>
      </c>
      <c r="C52" s="116"/>
      <c r="D52" s="6" t="s">
        <v>52</v>
      </c>
      <c r="E52" s="12" t="s">
        <v>14</v>
      </c>
      <c r="F52" s="34">
        <f t="shared" si="36"/>
        <v>701</v>
      </c>
      <c r="G52" s="35">
        <f t="shared" si="37"/>
        <v>501</v>
      </c>
      <c r="H52" s="23">
        <f t="shared" si="35"/>
        <v>485.96999999999997</v>
      </c>
      <c r="I52" s="24">
        <f t="shared" si="35"/>
        <v>475.95</v>
      </c>
      <c r="J52" s="25">
        <f t="shared" si="35"/>
        <v>470.94</v>
      </c>
      <c r="L52" s="76">
        <v>668</v>
      </c>
      <c r="M52" s="99">
        <f t="shared" si="4"/>
        <v>701</v>
      </c>
      <c r="N52" s="76">
        <v>477</v>
      </c>
      <c r="O52" s="99">
        <f t="shared" si="5"/>
        <v>501</v>
      </c>
      <c r="P52" s="88"/>
      <c r="Q52" s="94" t="s">
        <v>446</v>
      </c>
      <c r="R52" s="95">
        <v>230</v>
      </c>
      <c r="S52" s="265">
        <f t="shared" ref="S52:S65" si="38">1000/24</f>
        <v>41.666666666666664</v>
      </c>
      <c r="T52" s="95"/>
      <c r="U52" s="95">
        <f t="shared" si="1"/>
        <v>271.66666666666669</v>
      </c>
      <c r="V52" s="95">
        <v>0.05</v>
      </c>
      <c r="W52" s="95">
        <f t="shared" si="2"/>
        <v>285.25000000000006</v>
      </c>
      <c r="X52" s="95">
        <v>0.625</v>
      </c>
      <c r="Y52" s="95">
        <v>0.4</v>
      </c>
    </row>
    <row r="53" spans="1:25" x14ac:dyDescent="0.2">
      <c r="A53" s="210" t="s">
        <v>539</v>
      </c>
      <c r="B53" s="59">
        <v>30</v>
      </c>
      <c r="C53" s="116"/>
      <c r="D53" s="6" t="s">
        <v>53</v>
      </c>
      <c r="E53" s="12" t="s">
        <v>14</v>
      </c>
      <c r="F53" s="34">
        <f t="shared" si="36"/>
        <v>469</v>
      </c>
      <c r="G53" s="35">
        <f t="shared" si="37"/>
        <v>335</v>
      </c>
      <c r="H53" s="23">
        <f t="shared" si="35"/>
        <v>324.95</v>
      </c>
      <c r="I53" s="24">
        <f t="shared" si="35"/>
        <v>318.25</v>
      </c>
      <c r="J53" s="25">
        <f t="shared" si="35"/>
        <v>314.89999999999998</v>
      </c>
      <c r="L53" s="76">
        <v>447</v>
      </c>
      <c r="M53" s="99">
        <f t="shared" si="4"/>
        <v>469</v>
      </c>
      <c r="N53" s="76">
        <v>319</v>
      </c>
      <c r="O53" s="99">
        <f t="shared" si="5"/>
        <v>335</v>
      </c>
      <c r="P53" s="88"/>
      <c r="Q53" s="94" t="s">
        <v>446</v>
      </c>
      <c r="R53" s="95">
        <v>140</v>
      </c>
      <c r="S53" s="265">
        <f t="shared" si="38"/>
        <v>41.666666666666664</v>
      </c>
      <c r="T53" s="95"/>
      <c r="U53" s="95">
        <f t="shared" si="1"/>
        <v>181.66666666666666</v>
      </c>
      <c r="V53" s="95">
        <v>0.05</v>
      </c>
      <c r="W53" s="95">
        <f t="shared" si="2"/>
        <v>190.75</v>
      </c>
      <c r="X53" s="95">
        <v>0.625</v>
      </c>
      <c r="Y53" s="95">
        <v>0.4</v>
      </c>
    </row>
    <row r="54" spans="1:25" x14ac:dyDescent="0.2">
      <c r="A54" s="210" t="s">
        <v>541</v>
      </c>
      <c r="B54" s="59">
        <v>31</v>
      </c>
      <c r="C54" s="116"/>
      <c r="D54" s="6" t="s">
        <v>54</v>
      </c>
      <c r="E54" s="12" t="s">
        <v>14</v>
      </c>
      <c r="F54" s="34">
        <f t="shared" si="36"/>
        <v>675</v>
      </c>
      <c r="G54" s="35">
        <f t="shared" si="37"/>
        <v>482</v>
      </c>
      <c r="H54" s="23">
        <f t="shared" si="35"/>
        <v>467.53999999999996</v>
      </c>
      <c r="I54" s="24">
        <f t="shared" si="35"/>
        <v>457.9</v>
      </c>
      <c r="J54" s="25">
        <f t="shared" si="35"/>
        <v>453.08</v>
      </c>
      <c r="L54" s="76">
        <v>644</v>
      </c>
      <c r="M54" s="99">
        <f>ROUND(+W54*(1+X54)*(1+Y54)*(1+$R$1),0)</f>
        <v>675</v>
      </c>
      <c r="N54" s="76">
        <v>460</v>
      </c>
      <c r="O54" s="99">
        <f t="shared" si="5"/>
        <v>482</v>
      </c>
      <c r="P54" s="88"/>
      <c r="Q54" s="94" t="s">
        <v>446</v>
      </c>
      <c r="R54" s="95">
        <v>220</v>
      </c>
      <c r="S54" s="265">
        <f t="shared" si="38"/>
        <v>41.666666666666664</v>
      </c>
      <c r="T54" s="95"/>
      <c r="U54" s="95">
        <f t="shared" si="1"/>
        <v>261.66666666666669</v>
      </c>
      <c r="V54" s="95">
        <v>0.05</v>
      </c>
      <c r="W54" s="95">
        <f t="shared" si="2"/>
        <v>274.75000000000006</v>
      </c>
      <c r="X54" s="95">
        <v>0.625</v>
      </c>
      <c r="Y54" s="95">
        <v>0.4</v>
      </c>
    </row>
    <row r="55" spans="1:25" x14ac:dyDescent="0.2">
      <c r="A55" s="210" t="s">
        <v>547</v>
      </c>
      <c r="B55" s="59">
        <v>32</v>
      </c>
      <c r="C55" s="116"/>
      <c r="D55" s="6" t="s">
        <v>55</v>
      </c>
      <c r="E55" s="12" t="s">
        <v>14</v>
      </c>
      <c r="F55" s="34">
        <f t="shared" si="36"/>
        <v>525</v>
      </c>
      <c r="G55" s="35">
        <f t="shared" si="37"/>
        <v>375</v>
      </c>
      <c r="H55" s="23">
        <f t="shared" si="35"/>
        <v>363.75</v>
      </c>
      <c r="I55" s="24">
        <f t="shared" si="35"/>
        <v>356.25</v>
      </c>
      <c r="J55" s="25">
        <f t="shared" si="35"/>
        <v>352.5</v>
      </c>
      <c r="L55" s="76">
        <v>514</v>
      </c>
      <c r="M55" s="99">
        <f t="shared" si="4"/>
        <v>525</v>
      </c>
      <c r="N55" s="76">
        <v>367</v>
      </c>
      <c r="O55" s="99">
        <f t="shared" si="5"/>
        <v>375</v>
      </c>
      <c r="P55" s="88"/>
      <c r="Q55" s="94" t="s">
        <v>446</v>
      </c>
      <c r="R55" s="95">
        <v>150</v>
      </c>
      <c r="S55" s="265">
        <f t="shared" si="38"/>
        <v>41.666666666666664</v>
      </c>
      <c r="T55" s="95"/>
      <c r="U55" s="95">
        <f t="shared" si="1"/>
        <v>191.66666666666666</v>
      </c>
      <c r="V55" s="95">
        <v>0.05</v>
      </c>
      <c r="W55" s="95">
        <f t="shared" si="2"/>
        <v>201.25</v>
      </c>
      <c r="X55" s="95">
        <v>0.72499999999999998</v>
      </c>
      <c r="Y55" s="95">
        <v>0.4</v>
      </c>
    </row>
    <row r="56" spans="1:25" x14ac:dyDescent="0.2">
      <c r="A56" s="208" t="s">
        <v>548</v>
      </c>
      <c r="B56" s="59">
        <v>33</v>
      </c>
      <c r="C56" s="116"/>
      <c r="D56" s="6" t="s">
        <v>56</v>
      </c>
      <c r="E56" s="12" t="s">
        <v>14</v>
      </c>
      <c r="F56" s="34">
        <f t="shared" si="36"/>
        <v>498</v>
      </c>
      <c r="G56" s="35">
        <f t="shared" si="37"/>
        <v>355</v>
      </c>
      <c r="H56" s="23">
        <f t="shared" si="35"/>
        <v>344.34999999999997</v>
      </c>
      <c r="I56" s="24">
        <f>$G56*(1-I$1)</f>
        <v>337.25</v>
      </c>
      <c r="J56" s="25">
        <f t="shared" si="35"/>
        <v>333.7</v>
      </c>
      <c r="L56" s="76">
        <v>474</v>
      </c>
      <c r="M56" s="99">
        <f t="shared" si="4"/>
        <v>498</v>
      </c>
      <c r="N56" s="76">
        <v>339</v>
      </c>
      <c r="O56" s="99">
        <f t="shared" si="5"/>
        <v>355</v>
      </c>
      <c r="P56" s="88"/>
      <c r="Q56" s="94" t="s">
        <v>446</v>
      </c>
      <c r="R56" s="95">
        <v>140</v>
      </c>
      <c r="S56" s="265">
        <f t="shared" si="38"/>
        <v>41.666666666666664</v>
      </c>
      <c r="T56" s="95"/>
      <c r="U56" s="95">
        <f t="shared" si="1"/>
        <v>181.66666666666666</v>
      </c>
      <c r="V56" s="95">
        <v>0.05</v>
      </c>
      <c r="W56" s="95">
        <f t="shared" si="2"/>
        <v>190.75</v>
      </c>
      <c r="X56" s="95">
        <v>0.72499999999999998</v>
      </c>
      <c r="Y56" s="95">
        <v>0.4</v>
      </c>
    </row>
    <row r="57" spans="1:25" x14ac:dyDescent="0.2">
      <c r="A57" s="210" t="s">
        <v>549</v>
      </c>
      <c r="B57" s="59">
        <v>34</v>
      </c>
      <c r="C57" s="116"/>
      <c r="D57" s="6" t="s">
        <v>57</v>
      </c>
      <c r="E57" s="12" t="s">
        <v>14</v>
      </c>
      <c r="F57" s="34">
        <f t="shared" si="36"/>
        <v>744</v>
      </c>
      <c r="G57" s="35">
        <f t="shared" si="37"/>
        <v>531</v>
      </c>
      <c r="H57" s="23">
        <f t="shared" si="35"/>
        <v>515.06999999999994</v>
      </c>
      <c r="I57" s="24">
        <f t="shared" si="35"/>
        <v>504.45</v>
      </c>
      <c r="J57" s="25">
        <f t="shared" si="35"/>
        <v>499.14</v>
      </c>
      <c r="L57" s="76">
        <v>710</v>
      </c>
      <c r="M57" s="99">
        <f t="shared" si="4"/>
        <v>744</v>
      </c>
      <c r="N57" s="76">
        <v>507</v>
      </c>
      <c r="O57" s="99">
        <f t="shared" si="5"/>
        <v>531</v>
      </c>
      <c r="P57" s="88"/>
      <c r="Q57" s="94" t="s">
        <v>446</v>
      </c>
      <c r="R57" s="95">
        <v>230</v>
      </c>
      <c r="S57" s="265">
        <f t="shared" si="38"/>
        <v>41.666666666666664</v>
      </c>
      <c r="T57" s="95"/>
      <c r="U57" s="95">
        <f t="shared" si="1"/>
        <v>271.66666666666669</v>
      </c>
      <c r="V57" s="95">
        <v>0.05</v>
      </c>
      <c r="W57" s="95">
        <f t="shared" si="2"/>
        <v>285.25000000000006</v>
      </c>
      <c r="X57" s="95">
        <v>0.72499999999999998</v>
      </c>
      <c r="Y57" s="95">
        <v>0.4</v>
      </c>
    </row>
    <row r="58" spans="1:25" x14ac:dyDescent="0.2">
      <c r="A58" s="210" t="s">
        <v>542</v>
      </c>
      <c r="B58" s="59">
        <v>35</v>
      </c>
      <c r="C58" s="116"/>
      <c r="D58" s="6" t="s">
        <v>58</v>
      </c>
      <c r="E58" s="12" t="s">
        <v>14</v>
      </c>
      <c r="F58" s="34">
        <f t="shared" si="36"/>
        <v>563</v>
      </c>
      <c r="G58" s="35">
        <f t="shared" si="37"/>
        <v>402</v>
      </c>
      <c r="H58" s="23">
        <f t="shared" si="35"/>
        <v>389.94</v>
      </c>
      <c r="I58" s="24">
        <f t="shared" si="35"/>
        <v>381.9</v>
      </c>
      <c r="J58" s="25">
        <f t="shared" si="35"/>
        <v>377.88</v>
      </c>
      <c r="L58" s="76">
        <v>551</v>
      </c>
      <c r="M58" s="99">
        <f t="shared" si="4"/>
        <v>563</v>
      </c>
      <c r="N58" s="76">
        <v>393</v>
      </c>
      <c r="O58" s="99">
        <f t="shared" si="5"/>
        <v>402</v>
      </c>
      <c r="P58" s="88"/>
      <c r="Q58" s="94" t="s">
        <v>446</v>
      </c>
      <c r="R58" s="95">
        <v>150</v>
      </c>
      <c r="S58" s="265">
        <f t="shared" si="38"/>
        <v>41.666666666666664</v>
      </c>
      <c r="T58" s="95"/>
      <c r="U58" s="95">
        <f t="shared" si="1"/>
        <v>191.66666666666666</v>
      </c>
      <c r="V58" s="95">
        <v>0.05</v>
      </c>
      <c r="W58" s="95">
        <f t="shared" si="2"/>
        <v>201.25</v>
      </c>
      <c r="X58" s="95">
        <v>0.85</v>
      </c>
      <c r="Y58" s="95">
        <v>0.4</v>
      </c>
    </row>
    <row r="59" spans="1:25" x14ac:dyDescent="0.2">
      <c r="A59" s="210" t="s">
        <v>544</v>
      </c>
      <c r="B59" s="59">
        <v>36</v>
      </c>
      <c r="C59" s="116"/>
      <c r="D59" s="6" t="s">
        <v>59</v>
      </c>
      <c r="E59" s="12" t="s">
        <v>14</v>
      </c>
      <c r="F59" s="34">
        <f t="shared" si="36"/>
        <v>798</v>
      </c>
      <c r="G59" s="35">
        <f t="shared" si="37"/>
        <v>570</v>
      </c>
      <c r="H59" s="23">
        <f t="shared" si="35"/>
        <v>552.9</v>
      </c>
      <c r="I59" s="24">
        <f t="shared" si="35"/>
        <v>541.5</v>
      </c>
      <c r="J59" s="25">
        <f t="shared" si="35"/>
        <v>535.79999999999995</v>
      </c>
      <c r="L59" s="76">
        <v>761</v>
      </c>
      <c r="M59" s="99">
        <f t="shared" si="4"/>
        <v>798</v>
      </c>
      <c r="N59" s="76">
        <v>544</v>
      </c>
      <c r="O59" s="99">
        <f t="shared" si="5"/>
        <v>570</v>
      </c>
      <c r="P59" s="88"/>
      <c r="Q59" s="94" t="s">
        <v>446</v>
      </c>
      <c r="R59" s="95">
        <v>230</v>
      </c>
      <c r="S59" s="265">
        <f t="shared" si="38"/>
        <v>41.666666666666664</v>
      </c>
      <c r="T59" s="95"/>
      <c r="U59" s="95">
        <f t="shared" si="1"/>
        <v>271.66666666666669</v>
      </c>
      <c r="V59" s="95">
        <v>0.05</v>
      </c>
      <c r="W59" s="95">
        <f t="shared" si="2"/>
        <v>285.25000000000006</v>
      </c>
      <c r="X59" s="95">
        <v>0.85</v>
      </c>
      <c r="Y59" s="95">
        <v>0.4</v>
      </c>
    </row>
    <row r="60" spans="1:25" x14ac:dyDescent="0.2">
      <c r="A60" s="210" t="s">
        <v>543</v>
      </c>
      <c r="B60" s="59">
        <v>37</v>
      </c>
      <c r="C60" s="116"/>
      <c r="D60" s="6" t="s">
        <v>60</v>
      </c>
      <c r="E60" s="12" t="s">
        <v>14</v>
      </c>
      <c r="F60" s="34">
        <f t="shared" si="36"/>
        <v>534</v>
      </c>
      <c r="G60" s="35">
        <f t="shared" si="37"/>
        <v>381</v>
      </c>
      <c r="H60" s="23">
        <f t="shared" si="35"/>
        <v>369.57</v>
      </c>
      <c r="I60" s="24">
        <f t="shared" si="35"/>
        <v>361.95</v>
      </c>
      <c r="J60" s="25">
        <f t="shared" si="35"/>
        <v>358.14</v>
      </c>
      <c r="L60" s="76">
        <v>509</v>
      </c>
      <c r="M60" s="99">
        <f t="shared" si="4"/>
        <v>534</v>
      </c>
      <c r="N60" s="76">
        <v>363</v>
      </c>
      <c r="O60" s="99">
        <f t="shared" si="5"/>
        <v>381</v>
      </c>
      <c r="P60" s="88"/>
      <c r="Q60" s="94" t="s">
        <v>446</v>
      </c>
      <c r="R60" s="95">
        <v>140</v>
      </c>
      <c r="S60" s="265">
        <f t="shared" si="38"/>
        <v>41.666666666666664</v>
      </c>
      <c r="T60" s="95"/>
      <c r="U60" s="95">
        <f t="shared" si="1"/>
        <v>181.66666666666666</v>
      </c>
      <c r="V60" s="95">
        <v>0.05</v>
      </c>
      <c r="W60" s="95">
        <f t="shared" si="2"/>
        <v>190.75</v>
      </c>
      <c r="X60" s="95">
        <v>0.85</v>
      </c>
      <c r="Y60" s="95">
        <v>0.4</v>
      </c>
    </row>
    <row r="61" spans="1:25" x14ac:dyDescent="0.2">
      <c r="A61" s="210" t="s">
        <v>545</v>
      </c>
      <c r="B61" s="59">
        <v>38</v>
      </c>
      <c r="C61" s="116"/>
      <c r="D61" s="6" t="s">
        <v>61</v>
      </c>
      <c r="E61" s="12" t="s">
        <v>14</v>
      </c>
      <c r="F61" s="34">
        <f t="shared" si="36"/>
        <v>769</v>
      </c>
      <c r="G61" s="35">
        <f t="shared" si="37"/>
        <v>549</v>
      </c>
      <c r="H61" s="23">
        <f t="shared" si="35"/>
        <v>532.53</v>
      </c>
      <c r="I61" s="24">
        <f t="shared" si="35"/>
        <v>521.54999999999995</v>
      </c>
      <c r="J61" s="25">
        <f t="shared" si="35"/>
        <v>516.05999999999995</v>
      </c>
      <c r="L61" s="76">
        <v>733</v>
      </c>
      <c r="M61" s="99">
        <f t="shared" si="4"/>
        <v>769</v>
      </c>
      <c r="N61" s="76">
        <v>524</v>
      </c>
      <c r="O61" s="99">
        <f t="shared" si="5"/>
        <v>549</v>
      </c>
      <c r="P61" s="88"/>
      <c r="Q61" s="94" t="s">
        <v>446</v>
      </c>
      <c r="R61" s="95">
        <v>220</v>
      </c>
      <c r="S61" s="265">
        <f t="shared" si="38"/>
        <v>41.666666666666664</v>
      </c>
      <c r="T61" s="95"/>
      <c r="U61" s="95">
        <f t="shared" si="1"/>
        <v>261.66666666666669</v>
      </c>
      <c r="V61" s="95">
        <v>0.05</v>
      </c>
      <c r="W61" s="95">
        <f t="shared" si="2"/>
        <v>274.75000000000006</v>
      </c>
      <c r="X61" s="95">
        <v>0.85</v>
      </c>
      <c r="Y61" s="95">
        <v>0.4</v>
      </c>
    </row>
    <row r="62" spans="1:25" x14ac:dyDescent="0.2">
      <c r="A62" s="208" t="s">
        <v>550</v>
      </c>
      <c r="B62" s="59">
        <v>39</v>
      </c>
      <c r="C62" s="116"/>
      <c r="D62" s="6" t="s">
        <v>62</v>
      </c>
      <c r="E62" s="12" t="s">
        <v>14</v>
      </c>
      <c r="F62" s="34">
        <f t="shared" si="36"/>
        <v>533</v>
      </c>
      <c r="G62" s="35">
        <f t="shared" si="37"/>
        <v>380</v>
      </c>
      <c r="H62" s="23">
        <f t="shared" si="35"/>
        <v>368.59999999999997</v>
      </c>
      <c r="I62" s="24">
        <f t="shared" si="35"/>
        <v>361</v>
      </c>
      <c r="J62" s="25">
        <f t="shared" si="35"/>
        <v>357.2</v>
      </c>
      <c r="L62" s="76">
        <v>521</v>
      </c>
      <c r="M62" s="99">
        <f t="shared" si="4"/>
        <v>533</v>
      </c>
      <c r="N62" s="76">
        <v>372</v>
      </c>
      <c r="O62" s="99">
        <f t="shared" si="5"/>
        <v>380</v>
      </c>
      <c r="P62" s="88"/>
      <c r="Q62" s="94" t="s">
        <v>322</v>
      </c>
      <c r="R62" s="95">
        <v>150</v>
      </c>
      <c r="S62" s="265">
        <f t="shared" si="38"/>
        <v>41.666666666666664</v>
      </c>
      <c r="T62" s="95"/>
      <c r="U62" s="95">
        <f t="shared" si="1"/>
        <v>191.66666666666666</v>
      </c>
      <c r="V62" s="95">
        <v>0.05</v>
      </c>
      <c r="W62" s="95">
        <f t="shared" si="2"/>
        <v>201.25</v>
      </c>
      <c r="X62" s="95">
        <v>0.75</v>
      </c>
      <c r="Y62" s="95">
        <v>0.4</v>
      </c>
    </row>
    <row r="63" spans="1:25" x14ac:dyDescent="0.2">
      <c r="A63" s="210" t="s">
        <v>552</v>
      </c>
      <c r="B63" s="59">
        <v>40</v>
      </c>
      <c r="C63" s="116"/>
      <c r="D63" s="6" t="s">
        <v>63</v>
      </c>
      <c r="E63" s="12" t="s">
        <v>14</v>
      </c>
      <c r="F63" s="34">
        <f t="shared" si="36"/>
        <v>755</v>
      </c>
      <c r="G63" s="35">
        <f t="shared" si="37"/>
        <v>539</v>
      </c>
      <c r="H63" s="23">
        <f t="shared" ref="H63:J78" si="39">$G63*(1-H$1)</f>
        <v>522.83000000000004</v>
      </c>
      <c r="I63" s="24">
        <f t="shared" si="39"/>
        <v>512.04999999999995</v>
      </c>
      <c r="J63" s="25">
        <f t="shared" si="39"/>
        <v>506.65999999999997</v>
      </c>
      <c r="L63" s="76">
        <v>720</v>
      </c>
      <c r="M63" s="99">
        <f t="shared" si="4"/>
        <v>755</v>
      </c>
      <c r="N63" s="76">
        <v>514</v>
      </c>
      <c r="O63" s="99">
        <f t="shared" si="5"/>
        <v>539</v>
      </c>
      <c r="P63" s="88"/>
      <c r="Q63" s="94" t="s">
        <v>322</v>
      </c>
      <c r="R63" s="95">
        <v>230</v>
      </c>
      <c r="S63" s="265">
        <f t="shared" si="38"/>
        <v>41.666666666666664</v>
      </c>
      <c r="T63" s="95"/>
      <c r="U63" s="95">
        <f t="shared" si="1"/>
        <v>271.66666666666669</v>
      </c>
      <c r="V63" s="95">
        <v>0.05</v>
      </c>
      <c r="W63" s="95">
        <f t="shared" si="2"/>
        <v>285.25000000000006</v>
      </c>
      <c r="X63" s="95">
        <v>0.75</v>
      </c>
      <c r="Y63" s="95">
        <v>0.4</v>
      </c>
    </row>
    <row r="64" spans="1:25" x14ac:dyDescent="0.2">
      <c r="A64" s="210" t="s">
        <v>551</v>
      </c>
      <c r="B64" s="59">
        <v>41</v>
      </c>
      <c r="C64" s="116"/>
      <c r="D64" s="6" t="s">
        <v>64</v>
      </c>
      <c r="E64" s="12" t="s">
        <v>14</v>
      </c>
      <c r="F64" s="34">
        <f t="shared" si="36"/>
        <v>505</v>
      </c>
      <c r="G64" s="35">
        <f t="shared" si="37"/>
        <v>361</v>
      </c>
      <c r="H64" s="23">
        <f t="shared" si="39"/>
        <v>350.17</v>
      </c>
      <c r="I64" s="24">
        <f t="shared" si="39"/>
        <v>342.95</v>
      </c>
      <c r="J64" s="25">
        <f t="shared" si="39"/>
        <v>339.34</v>
      </c>
      <c r="L64" s="76">
        <v>481</v>
      </c>
      <c r="M64" s="99">
        <f t="shared" si="4"/>
        <v>505</v>
      </c>
      <c r="N64" s="76">
        <v>344</v>
      </c>
      <c r="O64" s="99">
        <f t="shared" si="5"/>
        <v>361</v>
      </c>
      <c r="P64" s="88"/>
      <c r="Q64" s="94" t="s">
        <v>322</v>
      </c>
      <c r="R64" s="95">
        <v>140</v>
      </c>
      <c r="S64" s="265">
        <f t="shared" si="38"/>
        <v>41.666666666666664</v>
      </c>
      <c r="T64" s="95"/>
      <c r="U64" s="95">
        <f t="shared" si="1"/>
        <v>181.66666666666666</v>
      </c>
      <c r="V64" s="95">
        <v>0.05</v>
      </c>
      <c r="W64" s="95">
        <f t="shared" si="2"/>
        <v>190.75</v>
      </c>
      <c r="X64" s="95">
        <v>0.75</v>
      </c>
      <c r="Y64" s="95">
        <v>0.4</v>
      </c>
    </row>
    <row r="65" spans="1:27" x14ac:dyDescent="0.2">
      <c r="A65" s="210" t="s">
        <v>553</v>
      </c>
      <c r="B65" s="59">
        <v>42</v>
      </c>
      <c r="C65" s="116"/>
      <c r="D65" s="6" t="s">
        <v>65</v>
      </c>
      <c r="E65" s="12" t="s">
        <v>14</v>
      </c>
      <c r="F65" s="34">
        <f t="shared" si="36"/>
        <v>727</v>
      </c>
      <c r="G65" s="35">
        <f t="shared" si="37"/>
        <v>519</v>
      </c>
      <c r="H65" s="23">
        <f t="shared" si="39"/>
        <v>503.43</v>
      </c>
      <c r="I65" s="24">
        <f t="shared" si="39"/>
        <v>493.04999999999995</v>
      </c>
      <c r="J65" s="25">
        <f t="shared" si="39"/>
        <v>487.85999999999996</v>
      </c>
      <c r="L65" s="76">
        <v>693</v>
      </c>
      <c r="M65" s="99">
        <f t="shared" si="4"/>
        <v>727</v>
      </c>
      <c r="N65" s="76">
        <v>495</v>
      </c>
      <c r="O65" s="99">
        <f t="shared" si="5"/>
        <v>519</v>
      </c>
      <c r="P65" s="88"/>
      <c r="Q65" s="94" t="s">
        <v>322</v>
      </c>
      <c r="R65" s="95">
        <v>220</v>
      </c>
      <c r="S65" s="265">
        <f t="shared" si="38"/>
        <v>41.666666666666664</v>
      </c>
      <c r="T65" s="95"/>
      <c r="U65" s="95">
        <f t="shared" si="1"/>
        <v>261.66666666666669</v>
      </c>
      <c r="V65" s="95">
        <v>0.05</v>
      </c>
      <c r="W65" s="95">
        <f t="shared" si="2"/>
        <v>274.75000000000006</v>
      </c>
      <c r="X65" s="95">
        <v>0.75</v>
      </c>
      <c r="Y65" s="95">
        <v>0.4</v>
      </c>
    </row>
    <row r="66" spans="1:27" x14ac:dyDescent="0.2">
      <c r="A66" s="205" t="s">
        <v>546</v>
      </c>
      <c r="B66" s="19">
        <v>43</v>
      </c>
      <c r="C66" s="150"/>
      <c r="D66" s="8" t="s">
        <v>426</v>
      </c>
      <c r="E66" s="12" t="s">
        <v>14</v>
      </c>
      <c r="F66" s="34">
        <f t="shared" si="36"/>
        <v>818</v>
      </c>
      <c r="G66" s="35">
        <f t="shared" si="37"/>
        <v>545</v>
      </c>
      <c r="H66" s="23">
        <f t="shared" si="39"/>
        <v>528.65</v>
      </c>
      <c r="I66" s="24">
        <f t="shared" si="39"/>
        <v>517.75</v>
      </c>
      <c r="J66" s="25">
        <f t="shared" si="39"/>
        <v>512.29999999999995</v>
      </c>
      <c r="L66" s="76">
        <v>780</v>
      </c>
      <c r="M66" s="99">
        <f t="shared" ref="M66" si="40">ROUND(+W66*(1+X66)*(1+Y66)*(1+$R$1),0)</f>
        <v>818</v>
      </c>
      <c r="N66" s="76">
        <v>520</v>
      </c>
      <c r="O66" s="99">
        <f t="shared" ref="O66" si="41">ROUND(+W66*(1+X66)*(1+$R$1),0)</f>
        <v>545</v>
      </c>
      <c r="P66" s="88"/>
      <c r="Q66" s="94" t="s">
        <v>291</v>
      </c>
      <c r="R66" s="95">
        <v>315</v>
      </c>
      <c r="S66" s="95">
        <f t="shared" ref="S66" si="42">540/16/1.5</f>
        <v>22.5</v>
      </c>
      <c r="T66" s="95"/>
      <c r="U66" s="95">
        <f t="shared" ref="U66" si="43">SUM(R66:T66)</f>
        <v>337.5</v>
      </c>
      <c r="V66" s="95">
        <v>0.05</v>
      </c>
      <c r="W66" s="95">
        <f t="shared" ref="W66" si="44">+U66*(1+V66)</f>
        <v>354.375</v>
      </c>
      <c r="X66" s="95">
        <v>0.42500000000000004</v>
      </c>
      <c r="Y66" s="95">
        <v>0.5</v>
      </c>
    </row>
    <row r="67" spans="1:27" x14ac:dyDescent="0.2">
      <c r="A67" s="14"/>
      <c r="B67" s="20"/>
      <c r="C67" s="20"/>
      <c r="D67" s="2" t="s">
        <v>66</v>
      </c>
      <c r="E67" s="14"/>
      <c r="F67" s="48"/>
      <c r="G67" s="48"/>
      <c r="H67" s="48"/>
      <c r="I67" s="48"/>
      <c r="J67" s="48"/>
      <c r="L67" s="258"/>
      <c r="M67" s="182"/>
      <c r="N67" s="258"/>
      <c r="O67" s="182"/>
      <c r="P67" s="88"/>
      <c r="U67" s="1">
        <f t="shared" si="1"/>
        <v>0</v>
      </c>
      <c r="W67" s="1">
        <f t="shared" si="2"/>
        <v>0</v>
      </c>
    </row>
    <row r="68" spans="1:27" x14ac:dyDescent="0.2">
      <c r="A68" s="207" t="s">
        <v>595</v>
      </c>
      <c r="B68" s="61">
        <v>44</v>
      </c>
      <c r="C68" s="118"/>
      <c r="D68" s="8" t="s">
        <v>67</v>
      </c>
      <c r="E68" s="15" t="s">
        <v>188</v>
      </c>
      <c r="F68" s="34">
        <f t="shared" ref="F68:F70" si="45">+M68</f>
        <v>207</v>
      </c>
      <c r="G68" s="35">
        <f t="shared" ref="G68:G70" si="46">+O68</f>
        <v>154</v>
      </c>
      <c r="H68" s="23">
        <f t="shared" si="39"/>
        <v>149.38</v>
      </c>
      <c r="I68" s="24">
        <f t="shared" si="39"/>
        <v>146.29999999999998</v>
      </c>
      <c r="J68" s="25">
        <f t="shared" si="39"/>
        <v>144.76</v>
      </c>
      <c r="L68" s="79">
        <v>203</v>
      </c>
      <c r="M68" s="99">
        <f t="shared" si="4"/>
        <v>207</v>
      </c>
      <c r="N68" s="79">
        <v>151</v>
      </c>
      <c r="O68" s="99">
        <f t="shared" si="5"/>
        <v>154</v>
      </c>
      <c r="P68" s="88"/>
      <c r="Q68" s="94" t="s">
        <v>322</v>
      </c>
      <c r="R68" s="95">
        <v>60</v>
      </c>
      <c r="S68" s="95">
        <f>1000/12/7</f>
        <v>11.904761904761903</v>
      </c>
      <c r="T68" s="95"/>
      <c r="U68" s="95">
        <f t="shared" si="1"/>
        <v>71.904761904761898</v>
      </c>
      <c r="V68" s="95"/>
      <c r="W68" s="95">
        <f t="shared" si="2"/>
        <v>71.904761904761898</v>
      </c>
      <c r="X68" s="95">
        <v>0.98399999999999999</v>
      </c>
      <c r="Y68" s="95">
        <v>0.34499999999999997</v>
      </c>
    </row>
    <row r="69" spans="1:27" x14ac:dyDescent="0.2">
      <c r="A69" s="211" t="s">
        <v>597</v>
      </c>
      <c r="B69" s="59">
        <v>45</v>
      </c>
      <c r="C69" s="116"/>
      <c r="D69" s="6" t="s">
        <v>68</v>
      </c>
      <c r="E69" s="12" t="s">
        <v>188</v>
      </c>
      <c r="F69" s="34">
        <f t="shared" si="45"/>
        <v>193</v>
      </c>
      <c r="G69" s="35">
        <f t="shared" si="46"/>
        <v>143</v>
      </c>
      <c r="H69" s="23">
        <f t="shared" si="39"/>
        <v>138.71</v>
      </c>
      <c r="I69" s="24">
        <f t="shared" si="39"/>
        <v>135.85</v>
      </c>
      <c r="J69" s="25">
        <f t="shared" si="39"/>
        <v>134.41999999999999</v>
      </c>
      <c r="L69" s="76">
        <v>181</v>
      </c>
      <c r="M69" s="99">
        <f t="shared" si="4"/>
        <v>193</v>
      </c>
      <c r="N69" s="76">
        <v>134</v>
      </c>
      <c r="O69" s="99">
        <f t="shared" si="5"/>
        <v>143</v>
      </c>
      <c r="P69" s="88"/>
      <c r="Q69" s="94" t="s">
        <v>306</v>
      </c>
      <c r="R69" s="95">
        <v>75</v>
      </c>
      <c r="S69" s="95">
        <f>200/10/5</f>
        <v>4</v>
      </c>
      <c r="T69" s="95"/>
      <c r="U69" s="95">
        <f t="shared" si="1"/>
        <v>79</v>
      </c>
      <c r="V69" s="95"/>
      <c r="W69" s="95">
        <f t="shared" si="2"/>
        <v>79</v>
      </c>
      <c r="X69" s="95">
        <v>0.67400000000000004</v>
      </c>
      <c r="Y69" s="95">
        <v>0.35</v>
      </c>
    </row>
    <row r="70" spans="1:27" x14ac:dyDescent="0.2">
      <c r="A70" s="210" t="s">
        <v>596</v>
      </c>
      <c r="B70" s="60">
        <v>46</v>
      </c>
      <c r="C70" s="150"/>
      <c r="D70" s="6" t="s">
        <v>69</v>
      </c>
      <c r="E70" s="12" t="s">
        <v>188</v>
      </c>
      <c r="F70" s="34">
        <f t="shared" si="45"/>
        <v>290</v>
      </c>
      <c r="G70" s="35">
        <f t="shared" si="46"/>
        <v>217</v>
      </c>
      <c r="H70" s="23">
        <f t="shared" si="39"/>
        <v>210.48999999999998</v>
      </c>
      <c r="I70" s="24">
        <f t="shared" si="39"/>
        <v>206.14999999999998</v>
      </c>
      <c r="J70" s="25">
        <f t="shared" si="39"/>
        <v>203.98</v>
      </c>
      <c r="L70" s="76">
        <v>277</v>
      </c>
      <c r="M70" s="99">
        <f t="shared" si="4"/>
        <v>290</v>
      </c>
      <c r="N70" s="76">
        <v>207</v>
      </c>
      <c r="O70" s="99">
        <f t="shared" si="5"/>
        <v>217</v>
      </c>
      <c r="P70" s="88"/>
      <c r="Q70" s="94" t="s">
        <v>291</v>
      </c>
      <c r="R70" s="95">
        <v>125</v>
      </c>
      <c r="S70" s="95">
        <v>22.5</v>
      </c>
      <c r="T70" s="95"/>
      <c r="U70" s="95">
        <f t="shared" si="1"/>
        <v>147.5</v>
      </c>
      <c r="V70" s="95"/>
      <c r="W70" s="95">
        <f t="shared" si="2"/>
        <v>147.5</v>
      </c>
      <c r="X70" s="95">
        <v>0.36</v>
      </c>
      <c r="Y70" s="95">
        <v>0.34</v>
      </c>
    </row>
    <row r="71" spans="1:27" x14ac:dyDescent="0.2">
      <c r="A71" s="14"/>
      <c r="B71" s="20"/>
      <c r="C71" s="20"/>
      <c r="D71" s="2" t="s">
        <v>70</v>
      </c>
      <c r="E71" s="14"/>
      <c r="F71" s="49"/>
      <c r="G71" s="50"/>
      <c r="H71" s="50"/>
      <c r="I71" s="50"/>
      <c r="J71" s="50"/>
      <c r="L71" s="259"/>
      <c r="M71" s="182"/>
      <c r="N71" s="260"/>
      <c r="O71" s="182"/>
      <c r="P71" s="88"/>
      <c r="U71" s="1">
        <f t="shared" si="1"/>
        <v>0</v>
      </c>
      <c r="W71" s="1">
        <f t="shared" si="2"/>
        <v>0</v>
      </c>
    </row>
    <row r="72" spans="1:27" x14ac:dyDescent="0.2">
      <c r="A72" s="211" t="s">
        <v>635</v>
      </c>
      <c r="B72" s="61"/>
      <c r="C72" s="118"/>
      <c r="D72" s="8" t="s">
        <v>71</v>
      </c>
      <c r="E72" s="15" t="s">
        <v>189</v>
      </c>
      <c r="F72" s="34">
        <f t="shared" ref="F72:F73" si="47">+M72</f>
        <v>30</v>
      </c>
      <c r="G72" s="35">
        <f t="shared" ref="G72:G73" si="48">+O72</f>
        <v>30</v>
      </c>
      <c r="H72" s="23">
        <f>+O72</f>
        <v>30</v>
      </c>
      <c r="I72" s="24">
        <f>+O72</f>
        <v>30</v>
      </c>
      <c r="J72" s="25">
        <f>+O72</f>
        <v>30</v>
      </c>
      <c r="L72" s="79">
        <v>30</v>
      </c>
      <c r="M72" s="99">
        <f t="shared" si="4"/>
        <v>30</v>
      </c>
      <c r="N72" s="79">
        <v>30</v>
      </c>
      <c r="O72" s="99">
        <f t="shared" si="5"/>
        <v>30</v>
      </c>
      <c r="P72" s="88"/>
      <c r="Q72" s="94"/>
      <c r="R72" s="95">
        <v>8.4</v>
      </c>
      <c r="S72" s="95">
        <v>7</v>
      </c>
      <c r="T72" s="95"/>
      <c r="U72" s="95">
        <f t="shared" si="1"/>
        <v>15.4</v>
      </c>
      <c r="V72" s="95"/>
      <c r="W72" s="95">
        <f t="shared" si="2"/>
        <v>15.4</v>
      </c>
      <c r="X72" s="95">
        <v>0.8</v>
      </c>
      <c r="Y72" s="95"/>
    </row>
    <row r="73" spans="1:27" x14ac:dyDescent="0.2">
      <c r="A73" s="211" t="s">
        <v>642</v>
      </c>
      <c r="B73" s="60"/>
      <c r="C73" s="117"/>
      <c r="D73" s="7" t="s">
        <v>72</v>
      </c>
      <c r="E73" s="13" t="s">
        <v>189</v>
      </c>
      <c r="F73" s="34">
        <f t="shared" si="47"/>
        <v>5</v>
      </c>
      <c r="G73" s="35">
        <f t="shared" si="48"/>
        <v>5</v>
      </c>
      <c r="H73" s="23">
        <f>+O73</f>
        <v>5</v>
      </c>
      <c r="I73" s="24">
        <f>+O73</f>
        <v>5</v>
      </c>
      <c r="J73" s="25">
        <f>+O73</f>
        <v>5</v>
      </c>
      <c r="L73" s="77">
        <v>5</v>
      </c>
      <c r="M73" s="99">
        <v>5</v>
      </c>
      <c r="N73" s="77">
        <v>5</v>
      </c>
      <c r="O73" s="99">
        <v>5</v>
      </c>
      <c r="P73" s="88"/>
      <c r="Q73" s="94"/>
      <c r="R73" s="95"/>
      <c r="S73" s="95"/>
      <c r="T73" s="95"/>
      <c r="U73" s="95">
        <f t="shared" si="1"/>
        <v>0</v>
      </c>
      <c r="V73" s="95"/>
      <c r="W73" s="95">
        <f t="shared" si="2"/>
        <v>0</v>
      </c>
      <c r="X73" s="95">
        <v>0.1</v>
      </c>
      <c r="Y73" s="95"/>
    </row>
    <row r="74" spans="1:27" x14ac:dyDescent="0.2">
      <c r="A74" s="14"/>
      <c r="B74" s="20"/>
      <c r="C74" s="20"/>
      <c r="D74" s="2" t="s">
        <v>73</v>
      </c>
      <c r="E74" s="14"/>
      <c r="F74" s="48"/>
      <c r="G74" s="48"/>
      <c r="H74" s="48"/>
      <c r="I74" s="48"/>
      <c r="J74" s="48"/>
      <c r="L74" s="258"/>
      <c r="M74" s="182"/>
      <c r="N74" s="258"/>
      <c r="O74" s="182"/>
      <c r="P74" s="88" t="s">
        <v>469</v>
      </c>
      <c r="U74" s="1">
        <f t="shared" si="1"/>
        <v>0</v>
      </c>
      <c r="W74" s="1">
        <f t="shared" si="2"/>
        <v>0</v>
      </c>
    </row>
    <row r="75" spans="1:27" x14ac:dyDescent="0.2">
      <c r="A75" s="207" t="s">
        <v>498</v>
      </c>
      <c r="B75" s="61">
        <v>50</v>
      </c>
      <c r="C75" s="150"/>
      <c r="D75" s="8" t="s">
        <v>74</v>
      </c>
      <c r="E75" s="15" t="s">
        <v>14</v>
      </c>
      <c r="F75" s="34">
        <f>+M75</f>
        <v>111</v>
      </c>
      <c r="G75" s="35">
        <f>+O75</f>
        <v>74</v>
      </c>
      <c r="H75" s="23">
        <f t="shared" si="39"/>
        <v>71.78</v>
      </c>
      <c r="I75" s="24">
        <f t="shared" si="39"/>
        <v>70.3</v>
      </c>
      <c r="J75" s="25">
        <f t="shared" si="39"/>
        <v>69.56</v>
      </c>
      <c r="L75" s="76">
        <v>79</v>
      </c>
      <c r="M75" s="270">
        <f t="shared" si="4"/>
        <v>111</v>
      </c>
      <c r="N75" s="76">
        <v>52</v>
      </c>
      <c r="O75" s="270">
        <f t="shared" si="5"/>
        <v>74</v>
      </c>
      <c r="P75" s="88"/>
      <c r="Q75" s="94" t="s">
        <v>454</v>
      </c>
      <c r="R75" s="186">
        <f>33.45*1.07</f>
        <v>35.791500000000006</v>
      </c>
      <c r="S75" s="186">
        <v>8</v>
      </c>
      <c r="T75" s="95"/>
      <c r="U75" s="95">
        <f t="shared" si="1"/>
        <v>43.791500000000006</v>
      </c>
      <c r="V75" s="95">
        <v>0.1</v>
      </c>
      <c r="W75" s="95">
        <f t="shared" si="2"/>
        <v>48.170650000000009</v>
      </c>
      <c r="X75" s="95">
        <v>0.42</v>
      </c>
      <c r="Y75" s="95">
        <v>0.5</v>
      </c>
    </row>
    <row r="76" spans="1:27" x14ac:dyDescent="0.2">
      <c r="A76" s="210" t="s">
        <v>503</v>
      </c>
      <c r="B76" s="59">
        <v>51</v>
      </c>
      <c r="C76" s="116"/>
      <c r="D76" s="6" t="s">
        <v>75</v>
      </c>
      <c r="E76" s="12" t="s">
        <v>14</v>
      </c>
      <c r="F76" s="34">
        <f t="shared" ref="F76:F81" si="49">+M76</f>
        <v>58</v>
      </c>
      <c r="G76" s="35">
        <f t="shared" ref="G76:G81" si="50">+O76</f>
        <v>40</v>
      </c>
      <c r="H76" s="23">
        <f t="shared" si="39"/>
        <v>38.799999999999997</v>
      </c>
      <c r="I76" s="24">
        <f t="shared" si="39"/>
        <v>38</v>
      </c>
      <c r="J76" s="25">
        <f t="shared" si="39"/>
        <v>37.599999999999994</v>
      </c>
      <c r="L76" s="76">
        <v>52</v>
      </c>
      <c r="M76" s="270">
        <f t="shared" si="4"/>
        <v>58</v>
      </c>
      <c r="N76" s="76">
        <v>35</v>
      </c>
      <c r="O76" s="270">
        <f t="shared" si="5"/>
        <v>40</v>
      </c>
      <c r="P76" s="88"/>
      <c r="Q76" s="94" t="s">
        <v>447</v>
      </c>
      <c r="R76" s="186">
        <f>16.55*1.07</f>
        <v>17.708500000000001</v>
      </c>
      <c r="S76" s="186">
        <v>5</v>
      </c>
      <c r="T76" s="95"/>
      <c r="U76" s="95">
        <f t="shared" si="1"/>
        <v>22.708500000000001</v>
      </c>
      <c r="V76" s="95">
        <v>0.1</v>
      </c>
      <c r="W76" s="95">
        <f t="shared" si="2"/>
        <v>24.979350000000004</v>
      </c>
      <c r="X76" s="95">
        <v>0.49</v>
      </c>
      <c r="Y76" s="95">
        <v>0.44</v>
      </c>
      <c r="Z76" s="201"/>
    </row>
    <row r="77" spans="1:27" x14ac:dyDescent="0.2">
      <c r="A77" s="210" t="s">
        <v>501</v>
      </c>
      <c r="B77" s="59">
        <v>52</v>
      </c>
      <c r="C77" s="116"/>
      <c r="D77" s="6" t="s">
        <v>76</v>
      </c>
      <c r="E77" s="12" t="s">
        <v>14</v>
      </c>
      <c r="F77" s="34">
        <f t="shared" si="49"/>
        <v>58</v>
      </c>
      <c r="G77" s="35">
        <f t="shared" si="50"/>
        <v>40</v>
      </c>
      <c r="H77" s="23">
        <f t="shared" si="39"/>
        <v>38.799999999999997</v>
      </c>
      <c r="I77" s="24">
        <f t="shared" si="39"/>
        <v>38</v>
      </c>
      <c r="J77" s="25">
        <f t="shared" si="39"/>
        <v>37.599999999999994</v>
      </c>
      <c r="L77" s="76">
        <v>52</v>
      </c>
      <c r="M77" s="270">
        <f t="shared" si="4"/>
        <v>58</v>
      </c>
      <c r="N77" s="76">
        <v>35</v>
      </c>
      <c r="O77" s="270">
        <f t="shared" si="5"/>
        <v>40</v>
      </c>
      <c r="P77" s="88"/>
      <c r="Q77" s="94" t="s">
        <v>447</v>
      </c>
      <c r="R77" s="186">
        <f>13.8*1.07</f>
        <v>14.766000000000002</v>
      </c>
      <c r="S77" s="186">
        <v>5</v>
      </c>
      <c r="T77" s="95"/>
      <c r="U77" s="95">
        <f t="shared" ref="U77:U141" si="51">SUM(R77:T77)</f>
        <v>19.766000000000002</v>
      </c>
      <c r="V77" s="95">
        <v>0.1</v>
      </c>
      <c r="W77" s="95">
        <f t="shared" ref="W77:W141" si="52">+U77*(1+V77)</f>
        <v>21.742600000000003</v>
      </c>
      <c r="X77" s="95">
        <v>0.69</v>
      </c>
      <c r="Y77" s="95">
        <v>0.45</v>
      </c>
      <c r="Z77" s="201"/>
      <c r="AA77" s="1" t="s">
        <v>826</v>
      </c>
    </row>
    <row r="78" spans="1:27" x14ac:dyDescent="0.2">
      <c r="A78" s="210" t="s">
        <v>497</v>
      </c>
      <c r="B78" s="59">
        <v>53</v>
      </c>
      <c r="C78" s="116"/>
      <c r="D78" s="6" t="s">
        <v>77</v>
      </c>
      <c r="E78" s="12" t="s">
        <v>14</v>
      </c>
      <c r="F78" s="34">
        <f t="shared" si="49"/>
        <v>70</v>
      </c>
      <c r="G78" s="35">
        <f t="shared" si="50"/>
        <v>50</v>
      </c>
      <c r="H78" s="23">
        <f t="shared" si="39"/>
        <v>48.5</v>
      </c>
      <c r="I78" s="24">
        <f t="shared" si="39"/>
        <v>47.5</v>
      </c>
      <c r="J78" s="25">
        <f t="shared" si="39"/>
        <v>47</v>
      </c>
      <c r="L78" s="76">
        <v>67</v>
      </c>
      <c r="M78" s="270">
        <f t="shared" ref="M78:M142" si="53">ROUND(+W78*(1+X78)*(1+Y78)*(1+$R$1),0)</f>
        <v>70</v>
      </c>
      <c r="N78" s="76">
        <v>43</v>
      </c>
      <c r="O78" s="270">
        <f t="shared" ref="O78:O142" si="54">ROUND(+W78*(1+X78)*(1+$R$1),0)</f>
        <v>50</v>
      </c>
      <c r="P78" s="88">
        <f>37.05*1.07</f>
        <v>39.643499999999996</v>
      </c>
      <c r="Q78" s="94" t="s">
        <v>462</v>
      </c>
      <c r="R78" s="186">
        <f>23*1.07</f>
        <v>24.610000000000003</v>
      </c>
      <c r="S78" s="186">
        <v>8</v>
      </c>
      <c r="T78" s="95"/>
      <c r="U78" s="95">
        <f t="shared" si="51"/>
        <v>32.61</v>
      </c>
      <c r="V78" s="95">
        <v>0.1</v>
      </c>
      <c r="W78" s="95">
        <f t="shared" si="52"/>
        <v>35.871000000000002</v>
      </c>
      <c r="X78" s="95">
        <v>0.3</v>
      </c>
      <c r="Y78" s="95">
        <v>0.39</v>
      </c>
      <c r="Z78" s="269">
        <f>+O78-W78</f>
        <v>14.128999999999998</v>
      </c>
    </row>
    <row r="79" spans="1:27" x14ac:dyDescent="0.2">
      <c r="A79" s="210" t="s">
        <v>499</v>
      </c>
      <c r="B79" s="59">
        <v>54</v>
      </c>
      <c r="C79" s="116"/>
      <c r="D79" s="6" t="s">
        <v>78</v>
      </c>
      <c r="E79" s="12" t="s">
        <v>14</v>
      </c>
      <c r="F79" s="34">
        <f t="shared" si="49"/>
        <v>70</v>
      </c>
      <c r="G79" s="35">
        <f t="shared" si="50"/>
        <v>50</v>
      </c>
      <c r="H79" s="23">
        <f t="shared" ref="H79:J82" si="55">$G79*(1-H$1)</f>
        <v>48.5</v>
      </c>
      <c r="I79" s="24">
        <f t="shared" si="55"/>
        <v>47.5</v>
      </c>
      <c r="J79" s="25">
        <f t="shared" si="55"/>
        <v>47</v>
      </c>
      <c r="L79" s="76">
        <v>67</v>
      </c>
      <c r="M79" s="270">
        <f t="shared" si="53"/>
        <v>70</v>
      </c>
      <c r="N79" s="76">
        <v>43</v>
      </c>
      <c r="O79" s="270">
        <f t="shared" si="54"/>
        <v>50</v>
      </c>
      <c r="P79" s="88">
        <f>37.05*1.07</f>
        <v>39.643499999999996</v>
      </c>
      <c r="Q79" s="94" t="s">
        <v>463</v>
      </c>
      <c r="R79" s="186">
        <f>23*1.07</f>
        <v>24.610000000000003</v>
      </c>
      <c r="S79" s="186">
        <v>8</v>
      </c>
      <c r="T79" s="95"/>
      <c r="U79" s="95">
        <f t="shared" si="51"/>
        <v>32.61</v>
      </c>
      <c r="V79" s="95">
        <v>0.1</v>
      </c>
      <c r="W79" s="95">
        <f t="shared" si="52"/>
        <v>35.871000000000002</v>
      </c>
      <c r="X79" s="95">
        <v>0.3</v>
      </c>
      <c r="Y79" s="95">
        <v>0.39</v>
      </c>
      <c r="Z79" s="269">
        <f t="shared" ref="Z79:Z81" si="56">+O79-W79</f>
        <v>14.128999999999998</v>
      </c>
    </row>
    <row r="80" spans="1:27" x14ac:dyDescent="0.2">
      <c r="A80" s="210" t="s">
        <v>504</v>
      </c>
      <c r="B80" s="59">
        <v>55</v>
      </c>
      <c r="C80" s="116"/>
      <c r="D80" s="6" t="s">
        <v>79</v>
      </c>
      <c r="E80" s="12" t="s">
        <v>14</v>
      </c>
      <c r="F80" s="34">
        <f t="shared" si="49"/>
        <v>50</v>
      </c>
      <c r="G80" s="35">
        <f t="shared" si="50"/>
        <v>30</v>
      </c>
      <c r="H80" s="23">
        <f t="shared" si="55"/>
        <v>29.099999999999998</v>
      </c>
      <c r="I80" s="24">
        <f t="shared" si="55"/>
        <v>28.5</v>
      </c>
      <c r="J80" s="25">
        <f t="shared" si="55"/>
        <v>28.2</v>
      </c>
      <c r="L80" s="76">
        <v>46</v>
      </c>
      <c r="M80" s="270">
        <f t="shared" si="53"/>
        <v>50</v>
      </c>
      <c r="N80" s="76">
        <v>26</v>
      </c>
      <c r="O80" s="270">
        <f t="shared" si="54"/>
        <v>30</v>
      </c>
      <c r="P80" s="88">
        <f>18.95*1.07</f>
        <v>20.276500000000002</v>
      </c>
      <c r="Q80" s="94" t="s">
        <v>825</v>
      </c>
      <c r="R80" s="186">
        <f>1.07*7.45</f>
        <v>7.9715000000000007</v>
      </c>
      <c r="S80" s="186">
        <v>8</v>
      </c>
      <c r="T80" s="95"/>
      <c r="U80" s="95">
        <f t="shared" si="51"/>
        <v>15.971500000000001</v>
      </c>
      <c r="V80" s="95">
        <v>0.1</v>
      </c>
      <c r="W80" s="95">
        <f t="shared" si="52"/>
        <v>17.568650000000002</v>
      </c>
      <c r="X80" s="95">
        <v>0.56999999999999995</v>
      </c>
      <c r="Y80" s="95">
        <v>0.69</v>
      </c>
      <c r="Z80" s="269">
        <f t="shared" si="56"/>
        <v>12.431349999999998</v>
      </c>
    </row>
    <row r="81" spans="1:28" x14ac:dyDescent="0.2">
      <c r="A81" s="210" t="s">
        <v>500</v>
      </c>
      <c r="B81" s="59">
        <v>56</v>
      </c>
      <c r="C81" s="116"/>
      <c r="D81" s="6" t="s">
        <v>80</v>
      </c>
      <c r="E81" s="12" t="s">
        <v>14</v>
      </c>
      <c r="F81" s="34">
        <f t="shared" si="49"/>
        <v>60</v>
      </c>
      <c r="G81" s="35">
        <f t="shared" si="50"/>
        <v>40</v>
      </c>
      <c r="H81" s="23">
        <f t="shared" si="55"/>
        <v>38.799999999999997</v>
      </c>
      <c r="I81" s="24">
        <f t="shared" si="55"/>
        <v>38</v>
      </c>
      <c r="J81" s="25">
        <f t="shared" si="55"/>
        <v>37.599999999999994</v>
      </c>
      <c r="L81" s="76">
        <v>52</v>
      </c>
      <c r="M81" s="270">
        <f t="shared" si="53"/>
        <v>60</v>
      </c>
      <c r="N81" s="76">
        <v>35</v>
      </c>
      <c r="O81" s="270">
        <f t="shared" si="54"/>
        <v>40</v>
      </c>
      <c r="P81" s="88">
        <f>23.95*1.07</f>
        <v>25.6265</v>
      </c>
      <c r="Q81" s="94" t="s">
        <v>464</v>
      </c>
      <c r="R81" s="186">
        <f>15.2*1.07</f>
        <v>16.263999999999999</v>
      </c>
      <c r="S81" s="186">
        <v>8</v>
      </c>
      <c r="T81" s="95"/>
      <c r="U81" s="95">
        <f t="shared" si="51"/>
        <v>24.263999999999999</v>
      </c>
      <c r="V81" s="95">
        <v>0.1</v>
      </c>
      <c r="W81" s="95">
        <f t="shared" si="52"/>
        <v>26.6904</v>
      </c>
      <c r="X81" s="95">
        <v>0.4</v>
      </c>
      <c r="Y81" s="95">
        <v>0.49</v>
      </c>
      <c r="Z81" s="269">
        <f t="shared" si="56"/>
        <v>13.3096</v>
      </c>
    </row>
    <row r="82" spans="1:28" x14ac:dyDescent="0.2">
      <c r="A82" s="211" t="s">
        <v>502</v>
      </c>
      <c r="B82" s="60"/>
      <c r="C82" s="150"/>
      <c r="D82" s="7" t="s">
        <v>81</v>
      </c>
      <c r="E82" s="13" t="s">
        <v>14</v>
      </c>
      <c r="F82" s="34">
        <f>+M82</f>
        <v>120</v>
      </c>
      <c r="G82" s="35">
        <f>+O82</f>
        <v>80</v>
      </c>
      <c r="H82" s="23">
        <f t="shared" si="55"/>
        <v>77.599999999999994</v>
      </c>
      <c r="I82" s="24">
        <f t="shared" si="55"/>
        <v>76</v>
      </c>
      <c r="J82" s="25">
        <f t="shared" si="55"/>
        <v>75.199999999999989</v>
      </c>
      <c r="L82" s="77">
        <v>104</v>
      </c>
      <c r="M82" s="270">
        <f t="shared" si="53"/>
        <v>120</v>
      </c>
      <c r="N82" s="76">
        <v>68</v>
      </c>
      <c r="O82" s="270">
        <f t="shared" si="54"/>
        <v>80</v>
      </c>
      <c r="P82" s="88"/>
      <c r="Q82" s="94" t="s">
        <v>448</v>
      </c>
      <c r="R82" s="186">
        <f>38.2*1.07</f>
        <v>40.874000000000002</v>
      </c>
      <c r="S82" s="186">
        <v>8</v>
      </c>
      <c r="T82" s="95"/>
      <c r="U82" s="95">
        <f t="shared" si="51"/>
        <v>48.874000000000002</v>
      </c>
      <c r="V82" s="95">
        <v>0.1</v>
      </c>
      <c r="W82" s="95">
        <f t="shared" si="52"/>
        <v>53.761400000000009</v>
      </c>
      <c r="X82" s="95">
        <v>0.37</v>
      </c>
      <c r="Y82" s="95">
        <v>0.51</v>
      </c>
      <c r="Z82" s="201"/>
    </row>
    <row r="83" spans="1:28" x14ac:dyDescent="0.2">
      <c r="A83" s="14"/>
      <c r="B83" s="20"/>
      <c r="C83" s="20"/>
      <c r="D83" s="2" t="s">
        <v>82</v>
      </c>
      <c r="E83" s="14"/>
      <c r="F83" s="48"/>
      <c r="G83" s="48"/>
      <c r="H83" s="48"/>
      <c r="I83" s="48"/>
      <c r="J83" s="48"/>
      <c r="L83" s="258"/>
      <c r="M83" s="182"/>
      <c r="N83" s="258"/>
      <c r="O83" s="182"/>
      <c r="P83" s="88"/>
      <c r="U83" s="1">
        <f t="shared" si="51"/>
        <v>0</v>
      </c>
      <c r="W83" s="1">
        <f t="shared" si="52"/>
        <v>0</v>
      </c>
    </row>
    <row r="84" spans="1:28" x14ac:dyDescent="0.2">
      <c r="A84" s="205" t="s">
        <v>519</v>
      </c>
      <c r="B84" s="61">
        <v>57</v>
      </c>
      <c r="C84" s="116"/>
      <c r="D84" s="8" t="s">
        <v>83</v>
      </c>
      <c r="E84" s="15" t="s">
        <v>14</v>
      </c>
      <c r="F84" s="34">
        <f>+M84</f>
        <v>385</v>
      </c>
      <c r="G84" s="35">
        <f>+O84</f>
        <v>257</v>
      </c>
      <c r="H84" s="23">
        <f t="shared" ref="H84:J100" si="57">$G84*(1-H$1)</f>
        <v>249.29</v>
      </c>
      <c r="I84" s="24">
        <f t="shared" si="57"/>
        <v>244.14999999999998</v>
      </c>
      <c r="J84" s="25">
        <f t="shared" si="57"/>
        <v>241.57999999999998</v>
      </c>
      <c r="L84" s="79">
        <v>321</v>
      </c>
      <c r="M84" s="270">
        <f t="shared" si="53"/>
        <v>385</v>
      </c>
      <c r="N84" s="79">
        <v>214</v>
      </c>
      <c r="O84" s="270">
        <f t="shared" si="54"/>
        <v>257</v>
      </c>
      <c r="P84" s="88"/>
      <c r="Q84" s="94" t="s">
        <v>465</v>
      </c>
      <c r="R84" s="95">
        <v>40</v>
      </c>
      <c r="S84" s="186">
        <v>80.599999999999994</v>
      </c>
      <c r="T84" s="95">
        <f>+S84*0.67</f>
        <v>54.002000000000002</v>
      </c>
      <c r="U84" s="95">
        <f t="shared" si="51"/>
        <v>174.602</v>
      </c>
      <c r="V84" s="95">
        <v>0.05</v>
      </c>
      <c r="W84" s="95">
        <f t="shared" si="52"/>
        <v>183.33210000000003</v>
      </c>
      <c r="X84" s="95">
        <v>0.3</v>
      </c>
      <c r="Y84" s="95">
        <v>0.495</v>
      </c>
      <c r="Z84" s="201"/>
    </row>
    <row r="85" spans="1:28" x14ac:dyDescent="0.2">
      <c r="A85" s="212" t="s">
        <v>510</v>
      </c>
      <c r="B85" s="59">
        <v>58</v>
      </c>
      <c r="C85" s="116"/>
      <c r="D85" s="6" t="s">
        <v>84</v>
      </c>
      <c r="E85" s="12" t="s">
        <v>14</v>
      </c>
      <c r="F85" s="34">
        <f t="shared" ref="F85:F92" si="58">+L85</f>
        <v>97</v>
      </c>
      <c r="G85" s="35">
        <f t="shared" ref="G85:G92" si="59">+N85</f>
        <v>69</v>
      </c>
      <c r="H85" s="23">
        <f t="shared" si="57"/>
        <v>66.929999999999993</v>
      </c>
      <c r="I85" s="24">
        <f t="shared" si="57"/>
        <v>65.55</v>
      </c>
      <c r="J85" s="25">
        <f t="shared" si="57"/>
        <v>64.86</v>
      </c>
      <c r="L85" s="270">
        <v>97</v>
      </c>
      <c r="M85" s="182">
        <f t="shared" si="53"/>
        <v>80</v>
      </c>
      <c r="N85" s="270">
        <v>69</v>
      </c>
      <c r="O85" s="182">
        <f t="shared" si="54"/>
        <v>57</v>
      </c>
      <c r="P85" s="88" t="s">
        <v>467</v>
      </c>
      <c r="Q85" s="94" t="s">
        <v>449</v>
      </c>
      <c r="R85" s="186">
        <v>32.950000000000003</v>
      </c>
      <c r="S85" s="95"/>
      <c r="T85" s="95"/>
      <c r="U85" s="95">
        <f t="shared" si="51"/>
        <v>32.950000000000003</v>
      </c>
      <c r="V85" s="95">
        <v>0.05</v>
      </c>
      <c r="W85" s="95">
        <f t="shared" si="52"/>
        <v>34.597500000000004</v>
      </c>
      <c r="X85" s="95">
        <v>0.52</v>
      </c>
      <c r="Y85" s="95">
        <v>0.4</v>
      </c>
      <c r="Z85" s="201"/>
    </row>
    <row r="86" spans="1:28" x14ac:dyDescent="0.2">
      <c r="A86" s="212" t="s">
        <v>511</v>
      </c>
      <c r="B86" s="59">
        <v>59</v>
      </c>
      <c r="C86" s="116"/>
      <c r="D86" s="6" t="s">
        <v>85</v>
      </c>
      <c r="E86" s="12" t="s">
        <v>14</v>
      </c>
      <c r="F86" s="34">
        <f t="shared" si="58"/>
        <v>121</v>
      </c>
      <c r="G86" s="35">
        <f t="shared" si="59"/>
        <v>88</v>
      </c>
      <c r="H86" s="23">
        <f t="shared" si="57"/>
        <v>85.36</v>
      </c>
      <c r="I86" s="24">
        <f t="shared" si="57"/>
        <v>83.6</v>
      </c>
      <c r="J86" s="25">
        <f t="shared" si="57"/>
        <v>82.72</v>
      </c>
      <c r="L86" s="270">
        <v>121</v>
      </c>
      <c r="M86" s="182">
        <f t="shared" si="53"/>
        <v>98</v>
      </c>
      <c r="N86" s="270">
        <v>88</v>
      </c>
      <c r="O86" s="182">
        <f t="shared" si="54"/>
        <v>72</v>
      </c>
      <c r="P86" s="88"/>
      <c r="Q86" s="94" t="s">
        <v>450</v>
      </c>
      <c r="R86" s="95">
        <v>31.5</v>
      </c>
      <c r="S86" s="186">
        <v>8</v>
      </c>
      <c r="T86" s="95"/>
      <c r="U86" s="95">
        <f t="shared" si="51"/>
        <v>39.5</v>
      </c>
      <c r="V86" s="95">
        <v>0.05</v>
      </c>
      <c r="W86" s="95">
        <f t="shared" si="52"/>
        <v>41.475000000000001</v>
      </c>
      <c r="X86" s="95">
        <v>0.6</v>
      </c>
      <c r="Y86" s="95">
        <v>0.37</v>
      </c>
      <c r="Z86" s="201"/>
    </row>
    <row r="87" spans="1:28" x14ac:dyDescent="0.2">
      <c r="A87" s="212" t="s">
        <v>512</v>
      </c>
      <c r="B87" s="59">
        <v>60</v>
      </c>
      <c r="C87" s="116"/>
      <c r="D87" s="6" t="s">
        <v>487</v>
      </c>
      <c r="E87" s="12" t="s">
        <v>14</v>
      </c>
      <c r="F87" s="34">
        <f>+M87</f>
        <v>178</v>
      </c>
      <c r="G87" s="35">
        <f>+O87</f>
        <v>132</v>
      </c>
      <c r="H87" s="23">
        <f t="shared" si="57"/>
        <v>128.04</v>
      </c>
      <c r="I87" s="24">
        <f t="shared" si="57"/>
        <v>125.39999999999999</v>
      </c>
      <c r="J87" s="25">
        <f t="shared" si="57"/>
        <v>124.08</v>
      </c>
      <c r="L87" s="76">
        <v>163</v>
      </c>
      <c r="M87" s="270">
        <f t="shared" si="53"/>
        <v>178</v>
      </c>
      <c r="N87" s="76">
        <v>121</v>
      </c>
      <c r="O87" s="270">
        <f t="shared" si="54"/>
        <v>132</v>
      </c>
      <c r="P87" s="88"/>
      <c r="Q87" s="94" t="s">
        <v>317</v>
      </c>
      <c r="R87" s="95">
        <v>50</v>
      </c>
      <c r="S87" s="186">
        <v>8</v>
      </c>
      <c r="T87" s="95"/>
      <c r="U87" s="95">
        <f t="shared" si="51"/>
        <v>58</v>
      </c>
      <c r="V87" s="95">
        <v>0.05</v>
      </c>
      <c r="W87" s="95">
        <f t="shared" si="52"/>
        <v>60.900000000000006</v>
      </c>
      <c r="X87" s="95">
        <v>1</v>
      </c>
      <c r="Y87" s="95">
        <v>0.35499999999999998</v>
      </c>
      <c r="Z87" s="201"/>
    </row>
    <row r="88" spans="1:28" x14ac:dyDescent="0.2">
      <c r="A88" s="205" t="s">
        <v>505</v>
      </c>
      <c r="B88" s="59">
        <v>61</v>
      </c>
      <c r="C88" s="150"/>
      <c r="D88" s="6" t="s">
        <v>87</v>
      </c>
      <c r="E88" s="12" t="s">
        <v>14</v>
      </c>
      <c r="F88" s="34">
        <f>+M88</f>
        <v>350</v>
      </c>
      <c r="G88" s="35">
        <f>+O88</f>
        <v>250</v>
      </c>
      <c r="H88" s="23">
        <f t="shared" si="57"/>
        <v>242.5</v>
      </c>
      <c r="I88" s="24">
        <f t="shared" si="57"/>
        <v>237.5</v>
      </c>
      <c r="J88" s="25">
        <f t="shared" si="57"/>
        <v>235</v>
      </c>
      <c r="L88" s="76">
        <v>297</v>
      </c>
      <c r="M88" s="270">
        <f t="shared" si="53"/>
        <v>350</v>
      </c>
      <c r="N88" s="76">
        <v>212</v>
      </c>
      <c r="O88" s="270">
        <f t="shared" si="54"/>
        <v>250</v>
      </c>
      <c r="P88" s="267"/>
      <c r="Q88" s="94" t="s">
        <v>277</v>
      </c>
      <c r="R88" s="186">
        <v>150</v>
      </c>
      <c r="S88" s="95"/>
      <c r="T88" s="95"/>
      <c r="U88" s="95">
        <f t="shared" si="51"/>
        <v>150</v>
      </c>
      <c r="V88" s="95">
        <v>0.05</v>
      </c>
      <c r="W88" s="95">
        <f t="shared" si="52"/>
        <v>157.5</v>
      </c>
      <c r="X88" s="95">
        <v>0.47</v>
      </c>
      <c r="Y88" s="95">
        <v>0.4</v>
      </c>
      <c r="Z88" s="201"/>
      <c r="AA88" s="164"/>
      <c r="AB88" s="164"/>
    </row>
    <row r="89" spans="1:28" x14ac:dyDescent="0.2">
      <c r="A89" s="210" t="s">
        <v>520</v>
      </c>
      <c r="B89" s="59">
        <v>62</v>
      </c>
      <c r="C89" s="116"/>
      <c r="D89" s="6" t="s">
        <v>89</v>
      </c>
      <c r="E89" s="12" t="s">
        <v>14</v>
      </c>
      <c r="F89" s="34">
        <f>+M89</f>
        <v>196</v>
      </c>
      <c r="G89" s="35">
        <f>+O89</f>
        <v>130</v>
      </c>
      <c r="H89" s="23">
        <f t="shared" si="57"/>
        <v>126.1</v>
      </c>
      <c r="I89" s="24">
        <f t="shared" si="57"/>
        <v>123.5</v>
      </c>
      <c r="J89" s="25">
        <f t="shared" si="57"/>
        <v>122.19999999999999</v>
      </c>
      <c r="L89" s="76">
        <v>187</v>
      </c>
      <c r="M89" s="99">
        <f t="shared" si="53"/>
        <v>196</v>
      </c>
      <c r="N89" s="76">
        <v>124</v>
      </c>
      <c r="O89" s="99">
        <f t="shared" si="54"/>
        <v>130</v>
      </c>
      <c r="P89" s="88"/>
      <c r="Q89" s="94" t="s">
        <v>288</v>
      </c>
      <c r="R89" s="95">
        <v>68</v>
      </c>
      <c r="S89" s="95"/>
      <c r="T89" s="95"/>
      <c r="U89" s="95">
        <f t="shared" si="51"/>
        <v>68</v>
      </c>
      <c r="V89" s="95">
        <v>0.05</v>
      </c>
      <c r="W89" s="95">
        <f t="shared" si="52"/>
        <v>71.400000000000006</v>
      </c>
      <c r="X89" s="95">
        <v>0.69200000000000006</v>
      </c>
      <c r="Y89" s="95">
        <v>0.5</v>
      </c>
      <c r="Z89" s="201"/>
    </row>
    <row r="90" spans="1:28" x14ac:dyDescent="0.2">
      <c r="A90" s="210" t="s">
        <v>518</v>
      </c>
      <c r="B90" s="59">
        <v>63</v>
      </c>
      <c r="C90" s="116"/>
      <c r="D90" s="6" t="s">
        <v>91</v>
      </c>
      <c r="E90" s="12" t="s">
        <v>14</v>
      </c>
      <c r="F90" s="34">
        <f>+M90</f>
        <v>277</v>
      </c>
      <c r="G90" s="35">
        <f>+O90</f>
        <v>198</v>
      </c>
      <c r="H90" s="23">
        <f t="shared" si="57"/>
        <v>192.06</v>
      </c>
      <c r="I90" s="24">
        <f t="shared" si="57"/>
        <v>188.1</v>
      </c>
      <c r="J90" s="25">
        <f t="shared" si="57"/>
        <v>186.11999999999998</v>
      </c>
      <c r="L90" s="76">
        <v>230</v>
      </c>
      <c r="M90" s="270">
        <f t="shared" si="53"/>
        <v>277</v>
      </c>
      <c r="N90" s="76">
        <v>164</v>
      </c>
      <c r="O90" s="270">
        <f t="shared" si="54"/>
        <v>198</v>
      </c>
      <c r="P90" s="88"/>
      <c r="Q90" s="94" t="s">
        <v>316</v>
      </c>
      <c r="R90" s="95">
        <v>33</v>
      </c>
      <c r="S90" s="186">
        <v>46.8</v>
      </c>
      <c r="T90" s="95">
        <f>+S90*0.67</f>
        <v>31.356000000000002</v>
      </c>
      <c r="U90" s="95">
        <f t="shared" si="51"/>
        <v>111.15600000000001</v>
      </c>
      <c r="V90" s="95">
        <v>0.05</v>
      </c>
      <c r="W90" s="95">
        <f t="shared" si="52"/>
        <v>116.71380000000001</v>
      </c>
      <c r="X90" s="95">
        <v>0.57200000000000006</v>
      </c>
      <c r="Y90" s="95">
        <v>0.4</v>
      </c>
      <c r="Z90" s="201"/>
    </row>
    <row r="91" spans="1:28" x14ac:dyDescent="0.2">
      <c r="A91" s="210" t="s">
        <v>517</v>
      </c>
      <c r="B91" s="59">
        <v>64</v>
      </c>
      <c r="C91" s="116"/>
      <c r="D91" s="6" t="s">
        <v>90</v>
      </c>
      <c r="E91" s="12" t="s">
        <v>14</v>
      </c>
      <c r="F91" s="34">
        <f>+M91</f>
        <v>219</v>
      </c>
      <c r="G91" s="35">
        <f>+O91</f>
        <v>156</v>
      </c>
      <c r="H91" s="23">
        <f t="shared" si="57"/>
        <v>151.32</v>
      </c>
      <c r="I91" s="24">
        <f t="shared" si="57"/>
        <v>148.19999999999999</v>
      </c>
      <c r="J91" s="25">
        <f t="shared" si="57"/>
        <v>146.63999999999999</v>
      </c>
      <c r="L91" s="76">
        <v>178</v>
      </c>
      <c r="M91" s="270">
        <f t="shared" si="53"/>
        <v>219</v>
      </c>
      <c r="N91" s="76">
        <v>127</v>
      </c>
      <c r="O91" s="270">
        <f t="shared" si="54"/>
        <v>156</v>
      </c>
      <c r="P91" s="88"/>
      <c r="Q91" s="94" t="s">
        <v>316</v>
      </c>
      <c r="R91" s="95">
        <v>20</v>
      </c>
      <c r="S91" s="186">
        <v>46.8</v>
      </c>
      <c r="T91" s="95">
        <f>+S91*0.67</f>
        <v>31.356000000000002</v>
      </c>
      <c r="U91" s="95">
        <f t="shared" si="51"/>
        <v>98.156000000000006</v>
      </c>
      <c r="V91" s="95">
        <v>0.05</v>
      </c>
      <c r="W91" s="95">
        <f t="shared" si="52"/>
        <v>103.06380000000001</v>
      </c>
      <c r="X91" s="95">
        <v>0.40500000000000003</v>
      </c>
      <c r="Y91" s="95">
        <v>0.4</v>
      </c>
      <c r="Z91" s="201"/>
    </row>
    <row r="92" spans="1:28" x14ac:dyDescent="0.2">
      <c r="A92" s="205" t="s">
        <v>509</v>
      </c>
      <c r="B92" s="59">
        <v>65</v>
      </c>
      <c r="C92" s="150"/>
      <c r="D92" s="6" t="s">
        <v>88</v>
      </c>
      <c r="E92" s="12" t="s">
        <v>14</v>
      </c>
      <c r="F92" s="34">
        <f t="shared" si="58"/>
        <v>225</v>
      </c>
      <c r="G92" s="35">
        <f t="shared" si="59"/>
        <v>150</v>
      </c>
      <c r="H92" s="23">
        <f t="shared" si="57"/>
        <v>145.5</v>
      </c>
      <c r="I92" s="24">
        <f t="shared" si="57"/>
        <v>142.5</v>
      </c>
      <c r="J92" s="25">
        <f t="shared" si="57"/>
        <v>141</v>
      </c>
      <c r="L92" s="99">
        <v>225</v>
      </c>
      <c r="M92" s="182">
        <f t="shared" si="53"/>
        <v>215</v>
      </c>
      <c r="N92" s="99">
        <v>150</v>
      </c>
      <c r="O92" s="182">
        <f t="shared" si="54"/>
        <v>143</v>
      </c>
      <c r="P92" s="88"/>
      <c r="Q92" s="94" t="s">
        <v>290</v>
      </c>
      <c r="R92" s="95">
        <v>84.5</v>
      </c>
      <c r="S92" s="95"/>
      <c r="T92" s="95"/>
      <c r="U92" s="95">
        <f t="shared" si="51"/>
        <v>84.5</v>
      </c>
      <c r="V92" s="95">
        <v>0.1</v>
      </c>
      <c r="W92" s="95">
        <f t="shared" si="52"/>
        <v>92.95</v>
      </c>
      <c r="X92" s="95">
        <v>0.42700000000000005</v>
      </c>
      <c r="Y92" s="95">
        <v>0.5</v>
      </c>
      <c r="Z92" s="201"/>
    </row>
    <row r="93" spans="1:28" x14ac:dyDescent="0.2">
      <c r="A93" s="210" t="s">
        <v>515</v>
      </c>
      <c r="B93" s="59">
        <v>66</v>
      </c>
      <c r="C93" s="116"/>
      <c r="D93" s="6" t="s">
        <v>92</v>
      </c>
      <c r="E93" s="12" t="s">
        <v>14</v>
      </c>
      <c r="F93" s="34">
        <f t="shared" ref="F93:F99" si="60">+M93</f>
        <v>269</v>
      </c>
      <c r="G93" s="35">
        <f t="shared" ref="G93:G99" si="61">+O93</f>
        <v>180</v>
      </c>
      <c r="H93" s="23">
        <f t="shared" si="57"/>
        <v>174.6</v>
      </c>
      <c r="I93" s="24">
        <f t="shared" si="57"/>
        <v>171</v>
      </c>
      <c r="J93" s="25">
        <f t="shared" si="57"/>
        <v>169.2</v>
      </c>
      <c r="L93" s="76">
        <v>230</v>
      </c>
      <c r="M93" s="270">
        <f t="shared" si="53"/>
        <v>269</v>
      </c>
      <c r="N93" s="76">
        <v>153</v>
      </c>
      <c r="O93" s="270">
        <f t="shared" si="54"/>
        <v>180</v>
      </c>
      <c r="P93" s="88"/>
      <c r="Q93" s="94" t="s">
        <v>451</v>
      </c>
      <c r="R93" s="95">
        <v>36.799999999999997</v>
      </c>
      <c r="S93" s="186">
        <v>34.85</v>
      </c>
      <c r="T93" s="95">
        <f t="shared" ref="T93:T99" si="62">+S93*0.67</f>
        <v>23.349500000000003</v>
      </c>
      <c r="U93" s="95">
        <f t="shared" si="51"/>
        <v>94.999500000000012</v>
      </c>
      <c r="V93" s="95">
        <v>0.05</v>
      </c>
      <c r="W93" s="95">
        <f t="shared" si="52"/>
        <v>99.749475000000018</v>
      </c>
      <c r="X93" s="95">
        <v>0.66700000000000004</v>
      </c>
      <c r="Y93" s="95">
        <v>0.5</v>
      </c>
      <c r="Z93" s="201"/>
    </row>
    <row r="94" spans="1:28" x14ac:dyDescent="0.2">
      <c r="A94" s="210" t="s">
        <v>516</v>
      </c>
      <c r="B94" s="59">
        <v>67</v>
      </c>
      <c r="C94" s="116"/>
      <c r="D94" s="6" t="s">
        <v>93</v>
      </c>
      <c r="E94" s="12" t="s">
        <v>14</v>
      </c>
      <c r="F94" s="34">
        <f t="shared" si="60"/>
        <v>298</v>
      </c>
      <c r="G94" s="35">
        <f t="shared" si="61"/>
        <v>198</v>
      </c>
      <c r="H94" s="23">
        <f t="shared" si="57"/>
        <v>192.06</v>
      </c>
      <c r="I94" s="24">
        <f t="shared" si="57"/>
        <v>188.1</v>
      </c>
      <c r="J94" s="25">
        <f t="shared" si="57"/>
        <v>186.11999999999998</v>
      </c>
      <c r="L94" s="76">
        <v>271</v>
      </c>
      <c r="M94" s="270">
        <f t="shared" si="53"/>
        <v>298</v>
      </c>
      <c r="N94" s="76">
        <v>181</v>
      </c>
      <c r="O94" s="270">
        <f t="shared" si="54"/>
        <v>198</v>
      </c>
      <c r="P94" s="88"/>
      <c r="Q94" s="94" t="s">
        <v>452</v>
      </c>
      <c r="R94" s="95">
        <v>62.3</v>
      </c>
      <c r="S94" s="186">
        <v>34.85</v>
      </c>
      <c r="T94" s="95">
        <f t="shared" si="62"/>
        <v>23.349500000000003</v>
      </c>
      <c r="U94" s="95">
        <f t="shared" si="51"/>
        <v>120.49950000000001</v>
      </c>
      <c r="V94" s="95">
        <v>0.05</v>
      </c>
      <c r="W94" s="95">
        <f t="shared" si="52"/>
        <v>126.52447500000002</v>
      </c>
      <c r="X94" s="95">
        <v>0.45200000000000001</v>
      </c>
      <c r="Y94" s="95">
        <v>0.5</v>
      </c>
      <c r="Z94" s="201"/>
    </row>
    <row r="95" spans="1:28" x14ac:dyDescent="0.2">
      <c r="A95" s="210" t="s">
        <v>513</v>
      </c>
      <c r="B95" s="59">
        <v>68</v>
      </c>
      <c r="C95" s="116"/>
      <c r="D95" s="6" t="s">
        <v>94</v>
      </c>
      <c r="E95" s="12" t="s">
        <v>14</v>
      </c>
      <c r="F95" s="34">
        <f t="shared" si="60"/>
        <v>295</v>
      </c>
      <c r="G95" s="35">
        <f t="shared" si="61"/>
        <v>204</v>
      </c>
      <c r="H95" s="23">
        <f t="shared" si="57"/>
        <v>197.88</v>
      </c>
      <c r="I95" s="24">
        <f t="shared" si="57"/>
        <v>193.79999999999998</v>
      </c>
      <c r="J95" s="25">
        <f t="shared" si="57"/>
        <v>191.76</v>
      </c>
      <c r="L95" s="76">
        <v>262</v>
      </c>
      <c r="M95" s="270">
        <f t="shared" si="53"/>
        <v>295</v>
      </c>
      <c r="N95" s="76">
        <v>181</v>
      </c>
      <c r="O95" s="270">
        <f t="shared" si="54"/>
        <v>204</v>
      </c>
      <c r="P95" s="88"/>
      <c r="Q95" s="94" t="s">
        <v>330</v>
      </c>
      <c r="R95" s="95">
        <v>37.1</v>
      </c>
      <c r="S95" s="186">
        <v>43.7</v>
      </c>
      <c r="T95" s="95">
        <f t="shared" si="62"/>
        <v>29.279000000000003</v>
      </c>
      <c r="U95" s="95">
        <f t="shared" si="51"/>
        <v>110.07900000000001</v>
      </c>
      <c r="V95" s="95">
        <v>0.05</v>
      </c>
      <c r="W95" s="95">
        <f t="shared" si="52"/>
        <v>115.58295000000001</v>
      </c>
      <c r="X95" s="95">
        <v>0.63200000000000001</v>
      </c>
      <c r="Y95" s="95">
        <v>0.45</v>
      </c>
      <c r="Z95" s="201"/>
    </row>
    <row r="96" spans="1:28" x14ac:dyDescent="0.2">
      <c r="A96" s="210" t="s">
        <v>514</v>
      </c>
      <c r="B96" s="59">
        <v>69</v>
      </c>
      <c r="C96" s="116"/>
      <c r="D96" s="6" t="s">
        <v>228</v>
      </c>
      <c r="E96" s="12" t="s">
        <v>14</v>
      </c>
      <c r="F96" s="34">
        <f t="shared" si="60"/>
        <v>295</v>
      </c>
      <c r="G96" s="35">
        <f t="shared" si="61"/>
        <v>204</v>
      </c>
      <c r="H96" s="23">
        <f t="shared" si="57"/>
        <v>197.88</v>
      </c>
      <c r="I96" s="24">
        <f t="shared" si="57"/>
        <v>193.79999999999998</v>
      </c>
      <c r="J96" s="25">
        <f t="shared" si="57"/>
        <v>191.76</v>
      </c>
      <c r="L96" s="76">
        <v>262</v>
      </c>
      <c r="M96" s="270">
        <f t="shared" si="53"/>
        <v>295</v>
      </c>
      <c r="N96" s="76">
        <v>181</v>
      </c>
      <c r="O96" s="270">
        <f t="shared" si="54"/>
        <v>204</v>
      </c>
      <c r="P96" s="88"/>
      <c r="Q96" s="94" t="s">
        <v>330</v>
      </c>
      <c r="R96" s="95">
        <v>37.1</v>
      </c>
      <c r="S96" s="186">
        <v>43.7</v>
      </c>
      <c r="T96" s="95">
        <f t="shared" si="62"/>
        <v>29.279000000000003</v>
      </c>
      <c r="U96" s="95">
        <f t="shared" si="51"/>
        <v>110.07900000000001</v>
      </c>
      <c r="V96" s="95">
        <v>0.05</v>
      </c>
      <c r="W96" s="95">
        <f t="shared" si="52"/>
        <v>115.58295000000001</v>
      </c>
      <c r="X96" s="95">
        <v>0.63200000000000001</v>
      </c>
      <c r="Y96" s="95">
        <v>0.45</v>
      </c>
      <c r="Z96" s="201"/>
    </row>
    <row r="97" spans="1:26" x14ac:dyDescent="0.2">
      <c r="A97" s="205" t="s">
        <v>508</v>
      </c>
      <c r="B97" s="59">
        <v>70</v>
      </c>
      <c r="C97" s="127"/>
      <c r="D97" s="6" t="s">
        <v>95</v>
      </c>
      <c r="E97" s="12" t="s">
        <v>14</v>
      </c>
      <c r="F97" s="34">
        <f t="shared" si="60"/>
        <v>325</v>
      </c>
      <c r="G97" s="35">
        <f t="shared" si="61"/>
        <v>232</v>
      </c>
      <c r="H97" s="23">
        <f t="shared" si="57"/>
        <v>225.04</v>
      </c>
      <c r="I97" s="24">
        <f t="shared" si="57"/>
        <v>220.39999999999998</v>
      </c>
      <c r="J97" s="25">
        <f t="shared" si="57"/>
        <v>218.07999999999998</v>
      </c>
      <c r="L97" s="76">
        <v>281</v>
      </c>
      <c r="M97" s="270">
        <f t="shared" si="53"/>
        <v>325</v>
      </c>
      <c r="N97" s="76">
        <v>190</v>
      </c>
      <c r="O97" s="270">
        <f t="shared" si="54"/>
        <v>232</v>
      </c>
      <c r="P97" s="88"/>
      <c r="Q97" s="94" t="s">
        <v>794</v>
      </c>
      <c r="R97" s="95">
        <v>32</v>
      </c>
      <c r="S97" s="186">
        <v>74.400000000000006</v>
      </c>
      <c r="T97" s="95">
        <f t="shared" si="62"/>
        <v>49.848000000000006</v>
      </c>
      <c r="U97" s="95">
        <f t="shared" si="51"/>
        <v>156.24800000000002</v>
      </c>
      <c r="V97" s="95">
        <v>0.05</v>
      </c>
      <c r="W97" s="95">
        <f t="shared" si="52"/>
        <v>164.06040000000002</v>
      </c>
      <c r="X97" s="95">
        <v>0.312</v>
      </c>
      <c r="Y97" s="95">
        <v>0.4</v>
      </c>
      <c r="Z97" s="201"/>
    </row>
    <row r="98" spans="1:26" x14ac:dyDescent="0.2">
      <c r="A98" s="205" t="s">
        <v>506</v>
      </c>
      <c r="B98" s="59">
        <v>71</v>
      </c>
      <c r="C98" s="127"/>
      <c r="D98" s="6" t="s">
        <v>96</v>
      </c>
      <c r="E98" s="12" t="s">
        <v>14</v>
      </c>
      <c r="F98" s="34">
        <f t="shared" si="60"/>
        <v>328</v>
      </c>
      <c r="G98" s="35">
        <f t="shared" si="61"/>
        <v>234</v>
      </c>
      <c r="H98" s="23">
        <f t="shared" si="57"/>
        <v>226.98</v>
      </c>
      <c r="I98" s="24">
        <f t="shared" si="57"/>
        <v>222.29999999999998</v>
      </c>
      <c r="J98" s="25">
        <f t="shared" si="57"/>
        <v>219.95999999999998</v>
      </c>
      <c r="L98" s="76">
        <v>286</v>
      </c>
      <c r="M98" s="270">
        <f t="shared" si="53"/>
        <v>328</v>
      </c>
      <c r="N98" s="76">
        <v>191</v>
      </c>
      <c r="O98" s="270">
        <f t="shared" si="54"/>
        <v>234</v>
      </c>
      <c r="P98" s="88"/>
      <c r="Q98" s="94" t="s">
        <v>794</v>
      </c>
      <c r="R98" s="95">
        <v>33</v>
      </c>
      <c r="S98" s="186">
        <v>74.400000000000006</v>
      </c>
      <c r="T98" s="95">
        <f t="shared" si="62"/>
        <v>49.848000000000006</v>
      </c>
      <c r="U98" s="95">
        <f t="shared" si="51"/>
        <v>157.24800000000002</v>
      </c>
      <c r="V98" s="95">
        <v>0.05</v>
      </c>
      <c r="W98" s="95">
        <f t="shared" si="52"/>
        <v>165.11040000000003</v>
      </c>
      <c r="X98" s="95">
        <v>0.312</v>
      </c>
      <c r="Y98" s="95">
        <v>0.4</v>
      </c>
      <c r="Z98" s="201"/>
    </row>
    <row r="99" spans="1:26" x14ac:dyDescent="0.2">
      <c r="A99" s="204" t="s">
        <v>507</v>
      </c>
      <c r="B99" s="60">
        <v>72</v>
      </c>
      <c r="C99" s="127"/>
      <c r="D99" s="7" t="s">
        <v>97</v>
      </c>
      <c r="E99" s="13" t="s">
        <v>14</v>
      </c>
      <c r="F99" s="34">
        <f t="shared" si="60"/>
        <v>332</v>
      </c>
      <c r="G99" s="35">
        <f t="shared" si="61"/>
        <v>237</v>
      </c>
      <c r="H99" s="23">
        <f t="shared" si="57"/>
        <v>229.89</v>
      </c>
      <c r="I99" s="24">
        <f t="shared" si="57"/>
        <v>225.14999999999998</v>
      </c>
      <c r="J99" s="25">
        <f t="shared" si="57"/>
        <v>222.78</v>
      </c>
      <c r="L99" s="76">
        <v>294</v>
      </c>
      <c r="M99" s="270">
        <f t="shared" si="53"/>
        <v>332</v>
      </c>
      <c r="N99" s="76">
        <v>196</v>
      </c>
      <c r="O99" s="270">
        <f t="shared" si="54"/>
        <v>237</v>
      </c>
      <c r="P99" s="88"/>
      <c r="Q99" s="94" t="s">
        <v>794</v>
      </c>
      <c r="R99" s="95">
        <v>34.75</v>
      </c>
      <c r="S99" s="186">
        <v>74.400000000000006</v>
      </c>
      <c r="T99" s="95">
        <f t="shared" si="62"/>
        <v>49.848000000000006</v>
      </c>
      <c r="U99" s="95">
        <f t="shared" si="51"/>
        <v>158.99800000000002</v>
      </c>
      <c r="V99" s="95">
        <v>0.05</v>
      </c>
      <c r="W99" s="95">
        <f t="shared" si="52"/>
        <v>166.94790000000003</v>
      </c>
      <c r="X99" s="95">
        <v>0.314</v>
      </c>
      <c r="Y99" s="95">
        <v>0.4</v>
      </c>
      <c r="Z99" s="201"/>
    </row>
    <row r="100" spans="1:26" x14ac:dyDescent="0.2">
      <c r="A100" s="204" t="s">
        <v>819</v>
      </c>
      <c r="B100" s="60" t="s">
        <v>820</v>
      </c>
      <c r="C100" s="127"/>
      <c r="D100" s="7" t="s">
        <v>821</v>
      </c>
      <c r="E100" s="13" t="s">
        <v>14</v>
      </c>
      <c r="F100" s="34">
        <f t="shared" ref="F100" si="63">+M100</f>
        <v>270</v>
      </c>
      <c r="G100" s="35">
        <f t="shared" ref="G100" si="64">+O100</f>
        <v>193</v>
      </c>
      <c r="H100" s="23">
        <f t="shared" si="57"/>
        <v>187.21</v>
      </c>
      <c r="I100" s="24">
        <f t="shared" si="57"/>
        <v>183.35</v>
      </c>
      <c r="J100" s="25">
        <f t="shared" si="57"/>
        <v>181.42</v>
      </c>
      <c r="L100" s="76"/>
      <c r="M100" s="270">
        <f t="shared" ref="M100" si="65">ROUND(+W100*(1+X100)*(1+Y100)*(1+$R$1),0)</f>
        <v>270</v>
      </c>
      <c r="N100" s="76"/>
      <c r="O100" s="270">
        <f t="shared" ref="O100" si="66">ROUND(+W100*(1+X100)*(1+$R$1),0)</f>
        <v>193</v>
      </c>
      <c r="P100" s="88"/>
      <c r="Q100" s="94" t="s">
        <v>822</v>
      </c>
      <c r="R100" s="271">
        <v>128.6</v>
      </c>
      <c r="S100" s="186">
        <v>1</v>
      </c>
      <c r="T100" s="95"/>
      <c r="U100" s="95">
        <f t="shared" ref="U100" si="67">SUM(R100:T100)</f>
        <v>129.6</v>
      </c>
      <c r="V100" s="95">
        <v>0.05</v>
      </c>
      <c r="W100" s="95">
        <f t="shared" ref="W100" si="68">+U100*(1+V100)</f>
        <v>136.08000000000001</v>
      </c>
      <c r="X100" s="95">
        <v>0.314</v>
      </c>
      <c r="Y100" s="95">
        <v>0.4</v>
      </c>
      <c r="Z100" s="201"/>
    </row>
    <row r="101" spans="1:26" x14ac:dyDescent="0.2">
      <c r="A101" s="14"/>
      <c r="B101" s="20"/>
      <c r="C101" s="20"/>
      <c r="D101" s="2" t="s">
        <v>227</v>
      </c>
      <c r="E101" s="14"/>
      <c r="F101" s="48"/>
      <c r="G101" s="48"/>
      <c r="H101" s="48"/>
      <c r="I101" s="48"/>
      <c r="J101" s="48"/>
      <c r="L101" s="258"/>
      <c r="M101" s="182"/>
      <c r="N101" s="258"/>
      <c r="O101" s="182"/>
      <c r="P101" s="88"/>
      <c r="U101" s="1">
        <f t="shared" si="51"/>
        <v>0</v>
      </c>
      <c r="W101" s="1">
        <f t="shared" si="52"/>
        <v>0</v>
      </c>
    </row>
    <row r="102" spans="1:26" x14ac:dyDescent="0.2">
      <c r="A102" s="207" t="s">
        <v>562</v>
      </c>
      <c r="B102" s="61">
        <v>100</v>
      </c>
      <c r="C102" s="245"/>
      <c r="D102" s="8" t="s">
        <v>98</v>
      </c>
      <c r="E102" s="15" t="s">
        <v>188</v>
      </c>
      <c r="F102" s="34">
        <f t="shared" ref="F102:F110" si="69">+M102</f>
        <v>39.550560000000004</v>
      </c>
      <c r="G102" s="35">
        <f t="shared" ref="G102:G110" si="70">+O102</f>
        <v>32.958800000000004</v>
      </c>
      <c r="H102" s="23">
        <f t="shared" ref="H102:J109" si="71">$G102*(1-H$1)</f>
        <v>31.970036000000004</v>
      </c>
      <c r="I102" s="24">
        <f t="shared" si="71"/>
        <v>31.310860000000002</v>
      </c>
      <c r="J102" s="25">
        <f t="shared" si="71"/>
        <v>30.981272000000001</v>
      </c>
      <c r="L102" s="79">
        <v>38.39</v>
      </c>
      <c r="M102" s="99">
        <v>39.550560000000004</v>
      </c>
      <c r="N102" s="79">
        <v>31.99</v>
      </c>
      <c r="O102" s="99">
        <v>32.958800000000004</v>
      </c>
      <c r="P102" s="88"/>
      <c r="Q102" s="94" t="s">
        <v>336</v>
      </c>
      <c r="R102" s="95" t="s">
        <v>814</v>
      </c>
      <c r="S102" s="95"/>
      <c r="T102" s="95"/>
      <c r="U102" s="95">
        <f t="shared" ref="U102:U108" si="72">SUM(R102:T102)</f>
        <v>0</v>
      </c>
      <c r="V102" s="95"/>
      <c r="W102" s="95">
        <f t="shared" ref="W102:W109" si="73">+U102*(1+V102)</f>
        <v>0</v>
      </c>
      <c r="X102" s="95"/>
      <c r="Y102" s="95"/>
    </row>
    <row r="103" spans="1:26" x14ac:dyDescent="0.2">
      <c r="A103" s="210" t="s">
        <v>563</v>
      </c>
      <c r="B103" s="59">
        <v>101</v>
      </c>
      <c r="C103" s="245"/>
      <c r="D103" s="6" t="s">
        <v>99</v>
      </c>
      <c r="E103" s="12" t="s">
        <v>188</v>
      </c>
      <c r="F103" s="34">
        <f t="shared" si="69"/>
        <v>38.620800000000003</v>
      </c>
      <c r="G103" s="35">
        <f t="shared" si="70"/>
        <v>32.184000000000005</v>
      </c>
      <c r="H103" s="23">
        <f t="shared" si="71"/>
        <v>31.218480000000003</v>
      </c>
      <c r="I103" s="24">
        <f t="shared" si="71"/>
        <v>30.574800000000003</v>
      </c>
      <c r="J103" s="25">
        <f t="shared" si="71"/>
        <v>30.252960000000002</v>
      </c>
      <c r="L103" s="76">
        <v>37.49</v>
      </c>
      <c r="M103" s="99">
        <v>38.620800000000003</v>
      </c>
      <c r="N103" s="76">
        <v>31.25</v>
      </c>
      <c r="O103" s="99">
        <v>32.184000000000005</v>
      </c>
      <c r="P103" s="88"/>
      <c r="Q103" s="94" t="s">
        <v>336</v>
      </c>
      <c r="R103" s="95" t="s">
        <v>814</v>
      </c>
      <c r="S103" s="95"/>
      <c r="T103" s="95"/>
      <c r="U103" s="95">
        <f t="shared" si="72"/>
        <v>0</v>
      </c>
      <c r="V103" s="95"/>
      <c r="W103" s="95">
        <f t="shared" si="73"/>
        <v>0</v>
      </c>
      <c r="X103" s="95"/>
      <c r="Y103" s="95"/>
    </row>
    <row r="104" spans="1:26" x14ac:dyDescent="0.2">
      <c r="A104" s="12" t="s">
        <v>779</v>
      </c>
      <c r="B104" s="60">
        <v>102</v>
      </c>
      <c r="C104" s="245"/>
      <c r="D104" s="7" t="s">
        <v>780</v>
      </c>
      <c r="E104" s="13" t="s">
        <v>188</v>
      </c>
      <c r="F104" s="34">
        <f t="shared" si="69"/>
        <v>43.91328</v>
      </c>
      <c r="G104" s="35">
        <f t="shared" si="70"/>
        <v>36.5944</v>
      </c>
      <c r="H104" s="23">
        <f>$G104*(1-H$1)</f>
        <v>35.496567999999996</v>
      </c>
      <c r="I104" s="24">
        <f>$G104*(1-I$1)</f>
        <v>34.764679999999998</v>
      </c>
      <c r="J104" s="25">
        <f>$G104*(1-J$1)</f>
        <v>34.398736</v>
      </c>
      <c r="L104" s="77">
        <v>42.63</v>
      </c>
      <c r="M104" s="99">
        <v>43.91328</v>
      </c>
      <c r="N104" s="77">
        <v>35.520000000000003</v>
      </c>
      <c r="O104" s="99">
        <v>36.5944</v>
      </c>
      <c r="P104" s="88"/>
      <c r="Q104" s="94" t="s">
        <v>336</v>
      </c>
      <c r="R104" s="95" t="s">
        <v>814</v>
      </c>
      <c r="S104" s="95"/>
      <c r="T104" s="95"/>
      <c r="U104" s="95">
        <f t="shared" ref="U104" si="74">SUM(R104:T104)</f>
        <v>0</v>
      </c>
      <c r="V104" s="95"/>
      <c r="W104" s="95">
        <f t="shared" ref="W104" si="75">+U104*(1+V104)</f>
        <v>0</v>
      </c>
      <c r="X104" s="95"/>
      <c r="Y104" s="95"/>
    </row>
    <row r="105" spans="1:26" x14ac:dyDescent="0.2">
      <c r="A105" s="210" t="s">
        <v>564</v>
      </c>
      <c r="B105" s="59">
        <v>103</v>
      </c>
      <c r="C105" s="245"/>
      <c r="D105" s="6" t="s">
        <v>102</v>
      </c>
      <c r="E105" s="12" t="s">
        <v>188</v>
      </c>
      <c r="F105" s="34">
        <f t="shared" si="69"/>
        <v>180.90984</v>
      </c>
      <c r="G105" s="35">
        <f t="shared" si="70"/>
        <v>150.75820000000002</v>
      </c>
      <c r="H105" s="23">
        <f t="shared" si="71"/>
        <v>146.235454</v>
      </c>
      <c r="I105" s="24">
        <f t="shared" si="71"/>
        <v>143.22029000000001</v>
      </c>
      <c r="J105" s="25">
        <f t="shared" si="71"/>
        <v>141.71270800000002</v>
      </c>
      <c r="L105" s="76">
        <v>175.62</v>
      </c>
      <c r="M105" s="99">
        <v>180.90984</v>
      </c>
      <c r="N105" s="76">
        <v>146.35</v>
      </c>
      <c r="O105" s="99">
        <v>150.75820000000002</v>
      </c>
      <c r="P105" s="88"/>
      <c r="Q105" s="94" t="s">
        <v>336</v>
      </c>
      <c r="R105" s="95" t="s">
        <v>814</v>
      </c>
      <c r="S105" s="95"/>
      <c r="T105" s="95"/>
      <c r="U105" s="95">
        <f t="shared" si="72"/>
        <v>0</v>
      </c>
      <c r="V105" s="95"/>
      <c r="W105" s="95">
        <f t="shared" si="73"/>
        <v>0</v>
      </c>
      <c r="X105" s="95"/>
      <c r="Y105" s="95"/>
    </row>
    <row r="106" spans="1:26" x14ac:dyDescent="0.2">
      <c r="A106" s="210" t="s">
        <v>565</v>
      </c>
      <c r="B106" s="59">
        <v>104</v>
      </c>
      <c r="C106" s="245"/>
      <c r="D106" s="6" t="s">
        <v>101</v>
      </c>
      <c r="E106" s="12" t="s">
        <v>188</v>
      </c>
      <c r="F106" s="268">
        <f t="shared" si="69"/>
        <v>274.90499999999997</v>
      </c>
      <c r="G106" s="35">
        <f t="shared" si="70"/>
        <v>229.08750000000001</v>
      </c>
      <c r="H106" s="23">
        <f t="shared" si="71"/>
        <v>222.21487500000001</v>
      </c>
      <c r="I106" s="24">
        <f t="shared" si="71"/>
        <v>217.63312500000001</v>
      </c>
      <c r="J106" s="25">
        <f t="shared" si="71"/>
        <v>215.34225000000001</v>
      </c>
      <c r="L106" s="76">
        <v>266.86</v>
      </c>
      <c r="M106" s="99">
        <v>274.90499999999997</v>
      </c>
      <c r="N106" s="76">
        <v>222.38</v>
      </c>
      <c r="O106" s="99">
        <v>229.08750000000001</v>
      </c>
      <c r="P106" s="88"/>
      <c r="Q106" s="94" t="s">
        <v>336</v>
      </c>
      <c r="R106" s="95" t="s">
        <v>814</v>
      </c>
      <c r="S106" s="95"/>
      <c r="T106" s="95"/>
      <c r="U106" s="95">
        <f t="shared" si="72"/>
        <v>0</v>
      </c>
      <c r="V106" s="95"/>
      <c r="W106" s="95">
        <f t="shared" si="73"/>
        <v>0</v>
      </c>
      <c r="X106" s="95"/>
      <c r="Y106" s="95"/>
    </row>
    <row r="107" spans="1:26" x14ac:dyDescent="0.2">
      <c r="A107" s="210" t="s">
        <v>559</v>
      </c>
      <c r="B107" s="59">
        <v>105</v>
      </c>
      <c r="C107" s="245"/>
      <c r="D107" s="6" t="s">
        <v>104</v>
      </c>
      <c r="E107" s="12" t="s">
        <v>188</v>
      </c>
      <c r="F107" s="34">
        <f t="shared" si="69"/>
        <v>6.19</v>
      </c>
      <c r="G107" s="35">
        <f t="shared" si="70"/>
        <v>5.16</v>
      </c>
      <c r="H107" s="23">
        <f t="shared" si="71"/>
        <v>5.0052000000000003</v>
      </c>
      <c r="I107" s="24">
        <f t="shared" si="71"/>
        <v>4.9020000000000001</v>
      </c>
      <c r="J107" s="25">
        <f t="shared" si="71"/>
        <v>4.8503999999999996</v>
      </c>
      <c r="L107" s="76">
        <v>5.88</v>
      </c>
      <c r="M107" s="99">
        <v>6.19</v>
      </c>
      <c r="N107" s="76">
        <v>4.9000000000000004</v>
      </c>
      <c r="O107" s="99">
        <v>5.16</v>
      </c>
      <c r="P107" s="88"/>
      <c r="Q107" s="94" t="s">
        <v>348</v>
      </c>
      <c r="R107" s="95" t="s">
        <v>815</v>
      </c>
      <c r="S107" s="95"/>
      <c r="T107" s="95"/>
      <c r="U107" s="95">
        <f t="shared" si="72"/>
        <v>0</v>
      </c>
      <c r="V107" s="95"/>
      <c r="W107" s="95">
        <f t="shared" si="73"/>
        <v>0</v>
      </c>
      <c r="X107" s="95"/>
      <c r="Y107" s="95"/>
    </row>
    <row r="108" spans="1:26" x14ac:dyDescent="0.2">
      <c r="A108" s="207" t="s">
        <v>560</v>
      </c>
      <c r="B108" s="59">
        <v>106</v>
      </c>
      <c r="C108" s="245"/>
      <c r="D108" s="6" t="s">
        <v>105</v>
      </c>
      <c r="E108" s="12" t="s">
        <v>188</v>
      </c>
      <c r="F108" s="34">
        <f t="shared" si="69"/>
        <v>6.19</v>
      </c>
      <c r="G108" s="35">
        <f t="shared" si="70"/>
        <v>5.16</v>
      </c>
      <c r="H108" s="23">
        <f t="shared" si="71"/>
        <v>5.0052000000000003</v>
      </c>
      <c r="I108" s="24">
        <f t="shared" si="71"/>
        <v>4.9020000000000001</v>
      </c>
      <c r="J108" s="25">
        <f t="shared" si="71"/>
        <v>4.8503999999999996</v>
      </c>
      <c r="L108" s="76">
        <v>5.98</v>
      </c>
      <c r="M108" s="99">
        <v>6.19</v>
      </c>
      <c r="N108" s="76">
        <v>4.9800000000000004</v>
      </c>
      <c r="O108" s="99">
        <v>5.16</v>
      </c>
      <c r="P108" s="88"/>
      <c r="Q108" s="94" t="s">
        <v>348</v>
      </c>
      <c r="R108" s="95" t="s">
        <v>815</v>
      </c>
      <c r="S108" s="95"/>
      <c r="T108" s="95"/>
      <c r="U108" s="95">
        <f t="shared" si="72"/>
        <v>0</v>
      </c>
      <c r="V108" s="95"/>
      <c r="W108" s="95">
        <f t="shared" si="73"/>
        <v>0</v>
      </c>
      <c r="X108" s="95"/>
      <c r="Y108" s="95"/>
    </row>
    <row r="109" spans="1:26" x14ac:dyDescent="0.2">
      <c r="A109" s="12" t="s">
        <v>561</v>
      </c>
      <c r="B109" s="60">
        <v>107</v>
      </c>
      <c r="C109" s="245"/>
      <c r="D109" s="7" t="s">
        <v>761</v>
      </c>
      <c r="E109" s="13" t="s">
        <v>188</v>
      </c>
      <c r="F109" s="34">
        <f t="shared" si="69"/>
        <v>2.4</v>
      </c>
      <c r="G109" s="35">
        <f t="shared" si="70"/>
        <v>2</v>
      </c>
      <c r="H109" s="23">
        <f t="shared" si="71"/>
        <v>1.94</v>
      </c>
      <c r="I109" s="24">
        <f t="shared" si="71"/>
        <v>1.9</v>
      </c>
      <c r="J109" s="25">
        <f t="shared" si="71"/>
        <v>1.88</v>
      </c>
      <c r="L109" s="77">
        <v>2.29</v>
      </c>
      <c r="M109" s="99">
        <v>2.4</v>
      </c>
      <c r="N109" s="77">
        <v>1.91</v>
      </c>
      <c r="O109" s="99">
        <v>2</v>
      </c>
      <c r="P109" s="88"/>
      <c r="Q109" s="94" t="s">
        <v>336</v>
      </c>
      <c r="R109" s="95" t="s">
        <v>814</v>
      </c>
      <c r="S109" s="95"/>
      <c r="T109" s="95"/>
      <c r="U109" s="95">
        <f t="shared" ref="U109" si="76">SUM(R109:T109)</f>
        <v>0</v>
      </c>
      <c r="V109" s="95"/>
      <c r="W109" s="95">
        <f t="shared" si="73"/>
        <v>0</v>
      </c>
      <c r="X109" s="95"/>
      <c r="Y109" s="95"/>
    </row>
    <row r="110" spans="1:26" x14ac:dyDescent="0.2">
      <c r="A110" s="12" t="s">
        <v>675</v>
      </c>
      <c r="B110" s="60">
        <v>108</v>
      </c>
      <c r="C110" s="245"/>
      <c r="D110" s="7" t="s">
        <v>774</v>
      </c>
      <c r="E110" s="13" t="s">
        <v>188</v>
      </c>
      <c r="F110" s="34">
        <f t="shared" si="69"/>
        <v>6.9</v>
      </c>
      <c r="G110" s="35">
        <f t="shared" si="70"/>
        <v>5.75</v>
      </c>
      <c r="H110" s="23">
        <f>$G110*(1-H$1)</f>
        <v>5.5774999999999997</v>
      </c>
      <c r="I110" s="24">
        <f>$G110*(1-I$1)</f>
        <v>5.4624999999999995</v>
      </c>
      <c r="J110" s="25">
        <f>$G110*(1-J$1)</f>
        <v>5.4049999999999994</v>
      </c>
      <c r="L110" s="77">
        <v>6.69</v>
      </c>
      <c r="M110" s="99">
        <v>6.9</v>
      </c>
      <c r="N110" s="77">
        <v>5.57</v>
      </c>
      <c r="O110" s="99">
        <v>5.75</v>
      </c>
      <c r="P110" s="88"/>
      <c r="Q110" s="94" t="s">
        <v>336</v>
      </c>
      <c r="R110" s="95" t="s">
        <v>814</v>
      </c>
      <c r="S110" s="95"/>
      <c r="T110" s="95"/>
      <c r="U110" s="95">
        <f>SUM(R110:T110)</f>
        <v>0</v>
      </c>
      <c r="V110" s="95"/>
      <c r="W110" s="95">
        <f>+U110*(1+V110)</f>
        <v>0</v>
      </c>
      <c r="X110" s="95"/>
      <c r="Y110" s="95"/>
    </row>
    <row r="111" spans="1:26" x14ac:dyDescent="0.2">
      <c r="A111" s="14"/>
      <c r="B111" s="20"/>
      <c r="C111" s="20"/>
      <c r="D111" s="2" t="s">
        <v>106</v>
      </c>
      <c r="E111" s="14"/>
      <c r="F111" s="48"/>
      <c r="G111" s="48"/>
      <c r="H111" s="48"/>
      <c r="I111" s="48"/>
      <c r="J111" s="48"/>
      <c r="L111" s="258"/>
      <c r="M111" s="182"/>
      <c r="N111" s="258"/>
      <c r="O111" s="182"/>
      <c r="P111" s="88"/>
      <c r="U111" s="1">
        <f t="shared" si="51"/>
        <v>0</v>
      </c>
      <c r="W111" s="1">
        <f t="shared" si="52"/>
        <v>0</v>
      </c>
    </row>
    <row r="112" spans="1:26" ht="15" customHeight="1" x14ac:dyDescent="0.2">
      <c r="A112" s="1"/>
      <c r="B112" s="277" t="s">
        <v>224</v>
      </c>
      <c r="C112" s="278"/>
      <c r="D112" s="278"/>
      <c r="E112" s="278"/>
      <c r="F112" s="278"/>
      <c r="G112" s="278"/>
      <c r="H112" s="278"/>
      <c r="I112" s="278"/>
      <c r="J112" s="279"/>
      <c r="L112" s="256"/>
      <c r="M112" s="182"/>
      <c r="N112" s="256"/>
      <c r="O112" s="182"/>
      <c r="P112" s="88"/>
      <c r="U112" s="1">
        <f t="shared" si="51"/>
        <v>0</v>
      </c>
      <c r="W112" s="1">
        <f t="shared" si="52"/>
        <v>0</v>
      </c>
    </row>
    <row r="113" spans="1:25" x14ac:dyDescent="0.2">
      <c r="A113" s="12" t="s">
        <v>665</v>
      </c>
      <c r="C113" s="245"/>
      <c r="D113" s="6" t="s">
        <v>215</v>
      </c>
      <c r="E113" s="12" t="s">
        <v>216</v>
      </c>
      <c r="F113" s="34">
        <f t="shared" ref="F113:F120" si="77">+L113</f>
        <v>8.75</v>
      </c>
      <c r="G113" s="35">
        <f t="shared" ref="G113:G120" si="78">+N113</f>
        <v>7.5</v>
      </c>
      <c r="H113" s="23">
        <f t="shared" ref="H113:J120" si="79">$G113*(1-H$1)</f>
        <v>7.2749999999999995</v>
      </c>
      <c r="I113" s="24">
        <f t="shared" si="79"/>
        <v>7.125</v>
      </c>
      <c r="J113" s="25">
        <f t="shared" si="79"/>
        <v>7.05</v>
      </c>
      <c r="L113" s="76">
        <v>8.75</v>
      </c>
      <c r="M113" s="182">
        <f t="shared" si="53"/>
        <v>0</v>
      </c>
      <c r="N113" s="76">
        <v>7.5</v>
      </c>
      <c r="O113" s="182">
        <f t="shared" si="54"/>
        <v>0</v>
      </c>
      <c r="P113" s="88"/>
      <c r="Q113" s="94" t="s">
        <v>277</v>
      </c>
      <c r="R113" s="95"/>
      <c r="S113" s="95"/>
      <c r="T113" s="95"/>
      <c r="U113" s="95">
        <f t="shared" si="51"/>
        <v>0</v>
      </c>
      <c r="V113" s="95"/>
      <c r="W113" s="95">
        <f t="shared" si="52"/>
        <v>0</v>
      </c>
      <c r="X113" s="95">
        <v>0.35</v>
      </c>
      <c r="Y113" s="95">
        <v>0.2</v>
      </c>
    </row>
    <row r="114" spans="1:25" x14ac:dyDescent="0.2">
      <c r="A114" s="12" t="s">
        <v>662</v>
      </c>
      <c r="C114" s="245"/>
      <c r="D114" s="6" t="s">
        <v>217</v>
      </c>
      <c r="E114" s="12" t="s">
        <v>223</v>
      </c>
      <c r="F114" s="34">
        <f t="shared" si="77"/>
        <v>13.25</v>
      </c>
      <c r="G114" s="35">
        <f t="shared" si="78"/>
        <v>11.25</v>
      </c>
      <c r="H114" s="23">
        <f t="shared" si="79"/>
        <v>10.9125</v>
      </c>
      <c r="I114" s="24">
        <f t="shared" si="79"/>
        <v>10.6875</v>
      </c>
      <c r="J114" s="25">
        <f t="shared" si="79"/>
        <v>10.574999999999999</v>
      </c>
      <c r="L114" s="76">
        <v>13.25</v>
      </c>
      <c r="M114" s="182">
        <f t="shared" si="53"/>
        <v>0</v>
      </c>
      <c r="N114" s="76">
        <v>11.25</v>
      </c>
      <c r="O114" s="182">
        <f t="shared" si="54"/>
        <v>0</v>
      </c>
      <c r="P114" s="88"/>
      <c r="Q114" s="94" t="s">
        <v>277</v>
      </c>
      <c r="R114" s="95"/>
      <c r="S114" s="95"/>
      <c r="T114" s="95"/>
      <c r="U114" s="95">
        <f t="shared" si="51"/>
        <v>0</v>
      </c>
      <c r="V114" s="95"/>
      <c r="W114" s="95">
        <f t="shared" si="52"/>
        <v>0</v>
      </c>
      <c r="X114" s="95">
        <v>0.35</v>
      </c>
      <c r="Y114" s="95">
        <v>0.2</v>
      </c>
    </row>
    <row r="115" spans="1:25" x14ac:dyDescent="0.2">
      <c r="A115" s="12" t="s">
        <v>666</v>
      </c>
      <c r="C115" s="245"/>
      <c r="D115" s="6" t="s">
        <v>218</v>
      </c>
      <c r="E115" s="12" t="s">
        <v>216</v>
      </c>
      <c r="F115" s="34">
        <f t="shared" si="77"/>
        <v>9</v>
      </c>
      <c r="G115" s="35">
        <f t="shared" si="78"/>
        <v>7.75</v>
      </c>
      <c r="H115" s="23">
        <f t="shared" si="79"/>
        <v>7.5175000000000001</v>
      </c>
      <c r="I115" s="24">
        <f t="shared" si="79"/>
        <v>7.3624999999999998</v>
      </c>
      <c r="J115" s="25">
        <f t="shared" si="79"/>
        <v>7.2849999999999993</v>
      </c>
      <c r="L115" s="76">
        <v>9</v>
      </c>
      <c r="M115" s="182">
        <f t="shared" si="53"/>
        <v>0</v>
      </c>
      <c r="N115" s="76">
        <v>7.75</v>
      </c>
      <c r="O115" s="182">
        <f t="shared" si="54"/>
        <v>0</v>
      </c>
      <c r="P115" s="88"/>
      <c r="Q115" s="94" t="s">
        <v>277</v>
      </c>
      <c r="R115" s="95"/>
      <c r="S115" s="95"/>
      <c r="T115" s="95"/>
      <c r="U115" s="95">
        <f t="shared" si="51"/>
        <v>0</v>
      </c>
      <c r="V115" s="95"/>
      <c r="W115" s="95">
        <f t="shared" si="52"/>
        <v>0</v>
      </c>
      <c r="X115" s="95">
        <v>0.35</v>
      </c>
      <c r="Y115" s="95">
        <v>0.2</v>
      </c>
    </row>
    <row r="116" spans="1:25" x14ac:dyDescent="0.2">
      <c r="A116" s="12" t="s">
        <v>663</v>
      </c>
      <c r="C116" s="245"/>
      <c r="D116" s="6" t="s">
        <v>219</v>
      </c>
      <c r="E116" s="12" t="s">
        <v>223</v>
      </c>
      <c r="F116" s="34">
        <f t="shared" si="77"/>
        <v>13.75</v>
      </c>
      <c r="G116" s="35">
        <f t="shared" si="78"/>
        <v>11.75</v>
      </c>
      <c r="H116" s="23">
        <f t="shared" si="79"/>
        <v>11.397499999999999</v>
      </c>
      <c r="I116" s="24">
        <f t="shared" si="79"/>
        <v>11.1625</v>
      </c>
      <c r="J116" s="25">
        <f t="shared" si="79"/>
        <v>11.045</v>
      </c>
      <c r="L116" s="76">
        <v>13.75</v>
      </c>
      <c r="M116" s="182">
        <f t="shared" si="53"/>
        <v>0</v>
      </c>
      <c r="N116" s="76">
        <v>11.75</v>
      </c>
      <c r="O116" s="182">
        <f t="shared" si="54"/>
        <v>0</v>
      </c>
      <c r="P116" s="88"/>
      <c r="Q116" s="94" t="s">
        <v>277</v>
      </c>
      <c r="R116" s="95"/>
      <c r="S116" s="95"/>
      <c r="T116" s="95"/>
      <c r="U116" s="95">
        <f t="shared" si="51"/>
        <v>0</v>
      </c>
      <c r="V116" s="95"/>
      <c r="W116" s="95">
        <f t="shared" si="52"/>
        <v>0</v>
      </c>
      <c r="X116" s="95">
        <v>0.35</v>
      </c>
      <c r="Y116" s="95">
        <v>0.2</v>
      </c>
    </row>
    <row r="117" spans="1:25" x14ac:dyDescent="0.2">
      <c r="A117" s="12" t="s">
        <v>667</v>
      </c>
      <c r="C117" s="245"/>
      <c r="D117" s="6" t="s">
        <v>220</v>
      </c>
      <c r="E117" s="12" t="s">
        <v>216</v>
      </c>
      <c r="F117" s="34">
        <f t="shared" si="77"/>
        <v>8.5</v>
      </c>
      <c r="G117" s="35">
        <f t="shared" si="78"/>
        <v>7.25</v>
      </c>
      <c r="H117" s="23">
        <f t="shared" si="79"/>
        <v>7.0324999999999998</v>
      </c>
      <c r="I117" s="24">
        <f t="shared" si="79"/>
        <v>6.8874999999999993</v>
      </c>
      <c r="J117" s="25">
        <f t="shared" si="79"/>
        <v>6.8149999999999995</v>
      </c>
      <c r="L117" s="76">
        <v>8.5</v>
      </c>
      <c r="M117" s="182">
        <f t="shared" si="53"/>
        <v>0</v>
      </c>
      <c r="N117" s="76">
        <v>7.25</v>
      </c>
      <c r="O117" s="182">
        <f t="shared" si="54"/>
        <v>0</v>
      </c>
      <c r="P117" s="88"/>
      <c r="Q117" s="94" t="s">
        <v>277</v>
      </c>
      <c r="R117" s="95"/>
      <c r="S117" s="95"/>
      <c r="T117" s="95"/>
      <c r="U117" s="95">
        <f t="shared" si="51"/>
        <v>0</v>
      </c>
      <c r="V117" s="95"/>
      <c r="W117" s="95">
        <f t="shared" si="52"/>
        <v>0</v>
      </c>
      <c r="X117" s="95">
        <v>0.35</v>
      </c>
      <c r="Y117" s="95">
        <v>0.2</v>
      </c>
    </row>
    <row r="118" spans="1:25" x14ac:dyDescent="0.2">
      <c r="A118" s="12" t="s">
        <v>664</v>
      </c>
      <c r="C118" s="245"/>
      <c r="D118" s="6" t="s">
        <v>221</v>
      </c>
      <c r="E118" s="12" t="s">
        <v>223</v>
      </c>
      <c r="F118" s="34">
        <f t="shared" si="77"/>
        <v>13</v>
      </c>
      <c r="G118" s="35">
        <f t="shared" si="78"/>
        <v>11</v>
      </c>
      <c r="H118" s="23">
        <f t="shared" si="79"/>
        <v>10.67</v>
      </c>
      <c r="I118" s="24">
        <f t="shared" si="79"/>
        <v>10.45</v>
      </c>
      <c r="J118" s="25">
        <f t="shared" si="79"/>
        <v>10.34</v>
      </c>
      <c r="L118" s="76">
        <v>13</v>
      </c>
      <c r="M118" s="182">
        <f t="shared" si="53"/>
        <v>0</v>
      </c>
      <c r="N118" s="76">
        <v>11</v>
      </c>
      <c r="O118" s="182">
        <f t="shared" si="54"/>
        <v>0</v>
      </c>
      <c r="P118" s="88"/>
      <c r="Q118" s="94" t="s">
        <v>277</v>
      </c>
      <c r="R118" s="95"/>
      <c r="S118" s="95"/>
      <c r="T118" s="95"/>
      <c r="U118" s="95">
        <f t="shared" si="51"/>
        <v>0</v>
      </c>
      <c r="V118" s="95"/>
      <c r="W118" s="95">
        <f t="shared" si="52"/>
        <v>0</v>
      </c>
      <c r="X118" s="95">
        <v>0.35</v>
      </c>
      <c r="Y118" s="95">
        <v>0.2</v>
      </c>
    </row>
    <row r="119" spans="1:25" x14ac:dyDescent="0.2">
      <c r="A119" s="57" t="s">
        <v>668</v>
      </c>
      <c r="C119" s="245"/>
      <c r="D119" s="6" t="s">
        <v>213</v>
      </c>
      <c r="E119" s="12" t="s">
        <v>222</v>
      </c>
      <c r="F119" s="34">
        <v>90</v>
      </c>
      <c r="G119" s="35">
        <v>75</v>
      </c>
      <c r="H119" s="23">
        <f t="shared" si="79"/>
        <v>72.75</v>
      </c>
      <c r="I119" s="24">
        <f t="shared" si="79"/>
        <v>71.25</v>
      </c>
      <c r="J119" s="25">
        <f t="shared" si="79"/>
        <v>70.5</v>
      </c>
      <c r="L119" s="76">
        <v>196</v>
      </c>
      <c r="M119" s="182">
        <f t="shared" si="53"/>
        <v>0</v>
      </c>
      <c r="N119" s="76">
        <v>140</v>
      </c>
      <c r="O119" s="182">
        <f t="shared" si="54"/>
        <v>0</v>
      </c>
      <c r="P119" s="88"/>
      <c r="Q119" s="94" t="s">
        <v>277</v>
      </c>
      <c r="R119" s="95"/>
      <c r="S119" s="95"/>
      <c r="T119" s="95"/>
      <c r="U119" s="95">
        <f t="shared" si="51"/>
        <v>0</v>
      </c>
      <c r="V119" s="95"/>
      <c r="W119" s="95">
        <f t="shared" si="52"/>
        <v>0</v>
      </c>
      <c r="X119" s="95">
        <v>0.35</v>
      </c>
      <c r="Y119" s="95">
        <v>0.2</v>
      </c>
    </row>
    <row r="120" spans="1:25" x14ac:dyDescent="0.2">
      <c r="A120" s="57" t="s">
        <v>669</v>
      </c>
      <c r="C120" s="245"/>
      <c r="D120" s="6" t="s">
        <v>214</v>
      </c>
      <c r="E120" s="12" t="s">
        <v>222</v>
      </c>
      <c r="F120" s="34">
        <f t="shared" si="77"/>
        <v>14</v>
      </c>
      <c r="G120" s="35">
        <f t="shared" si="78"/>
        <v>10</v>
      </c>
      <c r="H120" s="23">
        <f t="shared" si="79"/>
        <v>9.6999999999999993</v>
      </c>
      <c r="I120" s="24">
        <f t="shared" si="79"/>
        <v>9.5</v>
      </c>
      <c r="J120" s="25">
        <f t="shared" si="79"/>
        <v>9.3999999999999986</v>
      </c>
      <c r="L120" s="76">
        <v>14</v>
      </c>
      <c r="M120" s="182">
        <f t="shared" si="53"/>
        <v>0</v>
      </c>
      <c r="N120" s="76">
        <v>10</v>
      </c>
      <c r="O120" s="182">
        <f t="shared" si="54"/>
        <v>0</v>
      </c>
      <c r="P120" s="88"/>
      <c r="Q120" s="94" t="s">
        <v>277</v>
      </c>
      <c r="R120" s="95"/>
      <c r="S120" s="95"/>
      <c r="T120" s="95"/>
      <c r="U120" s="95">
        <f t="shared" si="51"/>
        <v>0</v>
      </c>
      <c r="V120" s="95"/>
      <c r="W120" s="95">
        <f t="shared" si="52"/>
        <v>0</v>
      </c>
      <c r="X120" s="95">
        <v>0.35</v>
      </c>
      <c r="Y120" s="95">
        <v>0.2</v>
      </c>
    </row>
    <row r="121" spans="1:25" ht="15" customHeight="1" x14ac:dyDescent="0.2">
      <c r="A121" s="215"/>
      <c r="B121" s="277" t="s">
        <v>225</v>
      </c>
      <c r="C121" s="278"/>
      <c r="D121" s="278"/>
      <c r="E121" s="278"/>
      <c r="F121" s="278"/>
      <c r="G121" s="278"/>
      <c r="H121" s="278"/>
      <c r="I121" s="278"/>
      <c r="J121" s="279"/>
      <c r="L121" s="256"/>
      <c r="M121" s="182"/>
      <c r="N121" s="256"/>
      <c r="O121" s="182"/>
      <c r="P121" s="88"/>
      <c r="U121" s="1">
        <f t="shared" si="51"/>
        <v>0</v>
      </c>
      <c r="W121" s="1">
        <f t="shared" si="52"/>
        <v>0</v>
      </c>
    </row>
    <row r="122" spans="1:25" x14ac:dyDescent="0.2">
      <c r="A122" s="211"/>
      <c r="C122" s="117"/>
      <c r="D122" s="7" t="s">
        <v>190</v>
      </c>
      <c r="E122" s="17"/>
      <c r="F122" s="43"/>
      <c r="G122" s="44"/>
      <c r="H122" s="40"/>
      <c r="I122" s="41"/>
      <c r="J122" s="42"/>
      <c r="L122" s="77"/>
      <c r="M122" s="182"/>
      <c r="N122" s="77"/>
      <c r="O122" s="182"/>
      <c r="P122" s="88"/>
      <c r="Q122" s="94"/>
      <c r="R122" s="95"/>
      <c r="S122" s="95"/>
      <c r="T122" s="95"/>
      <c r="U122" s="95">
        <f t="shared" si="51"/>
        <v>0</v>
      </c>
      <c r="V122" s="95"/>
      <c r="W122" s="95">
        <f t="shared" si="52"/>
        <v>0</v>
      </c>
      <c r="X122" s="95"/>
      <c r="Y122" s="95"/>
    </row>
    <row r="123" spans="1:25" x14ac:dyDescent="0.2">
      <c r="A123" s="211"/>
      <c r="B123" s="60"/>
      <c r="C123" s="117"/>
      <c r="D123" s="7" t="s">
        <v>191</v>
      </c>
      <c r="E123" s="18"/>
      <c r="F123" s="38"/>
      <c r="G123" s="39"/>
      <c r="H123" s="40"/>
      <c r="I123" s="41"/>
      <c r="J123" s="42"/>
      <c r="L123" s="76"/>
      <c r="M123" s="182"/>
      <c r="N123" s="76"/>
      <c r="O123" s="182"/>
      <c r="P123" s="88"/>
      <c r="Q123" s="94"/>
      <c r="R123" s="95"/>
      <c r="S123" s="95"/>
      <c r="T123" s="95"/>
      <c r="U123" s="95">
        <f t="shared" si="51"/>
        <v>0</v>
      </c>
      <c r="V123" s="95"/>
      <c r="W123" s="95">
        <f t="shared" si="52"/>
        <v>0</v>
      </c>
      <c r="X123" s="95"/>
      <c r="Y123" s="95"/>
    </row>
    <row r="124" spans="1:25" x14ac:dyDescent="0.2">
      <c r="A124" s="14"/>
      <c r="B124" s="20"/>
      <c r="C124" s="20"/>
      <c r="D124" s="2" t="s">
        <v>109</v>
      </c>
      <c r="E124" s="14"/>
      <c r="F124" s="48"/>
      <c r="G124" s="48"/>
      <c r="H124" s="48"/>
      <c r="I124" s="48"/>
      <c r="J124" s="48"/>
      <c r="L124" s="258"/>
      <c r="M124" s="182"/>
      <c r="N124" s="258"/>
      <c r="O124" s="182"/>
      <c r="P124" s="88"/>
      <c r="U124" s="1">
        <f t="shared" si="51"/>
        <v>0</v>
      </c>
      <c r="W124" s="1">
        <f t="shared" si="52"/>
        <v>0</v>
      </c>
    </row>
    <row r="125" spans="1:25" x14ac:dyDescent="0.2">
      <c r="A125" s="207" t="s">
        <v>587</v>
      </c>
      <c r="B125" s="61"/>
      <c r="C125" s="118"/>
      <c r="D125" s="8" t="s">
        <v>110</v>
      </c>
      <c r="E125" s="15" t="s">
        <v>14</v>
      </c>
      <c r="F125" s="34">
        <f>+M125</f>
        <v>76</v>
      </c>
      <c r="G125" s="35">
        <f>+O125</f>
        <v>56</v>
      </c>
      <c r="H125" s="23">
        <f t="shared" ref="H125:J130" si="80">$G125*(1-H$1)</f>
        <v>54.32</v>
      </c>
      <c r="I125" s="24">
        <f t="shared" si="80"/>
        <v>53.199999999999996</v>
      </c>
      <c r="J125" s="25">
        <f t="shared" si="80"/>
        <v>52.64</v>
      </c>
      <c r="L125" s="79">
        <v>60</v>
      </c>
      <c r="M125" s="99">
        <v>76</v>
      </c>
      <c r="N125" s="79">
        <v>40</v>
      </c>
      <c r="O125" s="99">
        <v>56</v>
      </c>
      <c r="P125" s="88"/>
      <c r="Q125" s="94" t="s">
        <v>352</v>
      </c>
      <c r="R125" s="95"/>
      <c r="S125" s="95"/>
      <c r="T125" s="95"/>
      <c r="U125" s="95">
        <f t="shared" si="51"/>
        <v>0</v>
      </c>
      <c r="V125" s="95">
        <v>0.2</v>
      </c>
      <c r="W125" s="95">
        <f t="shared" si="52"/>
        <v>0</v>
      </c>
      <c r="X125" s="95">
        <v>1.1100000000000001</v>
      </c>
      <c r="Y125" s="95">
        <v>0.55000000000000004</v>
      </c>
    </row>
    <row r="126" spans="1:25" x14ac:dyDescent="0.2">
      <c r="A126" s="210" t="s">
        <v>586</v>
      </c>
      <c r="C126" s="116"/>
      <c r="D126" s="6" t="s">
        <v>111</v>
      </c>
      <c r="E126" s="12" t="s">
        <v>14</v>
      </c>
      <c r="F126" s="34">
        <f>+M126</f>
        <v>96</v>
      </c>
      <c r="G126" s="35">
        <f>+O126</f>
        <v>86</v>
      </c>
      <c r="H126" s="23">
        <f t="shared" si="80"/>
        <v>83.42</v>
      </c>
      <c r="I126" s="24">
        <f t="shared" si="80"/>
        <v>81.7</v>
      </c>
      <c r="J126" s="25">
        <f t="shared" si="80"/>
        <v>80.839999999999989</v>
      </c>
      <c r="L126" s="76">
        <v>72</v>
      </c>
      <c r="M126" s="99">
        <v>96</v>
      </c>
      <c r="N126" s="76">
        <v>52</v>
      </c>
      <c r="O126" s="99">
        <v>86</v>
      </c>
      <c r="P126" s="88"/>
      <c r="Q126" s="94" t="s">
        <v>352</v>
      </c>
      <c r="R126" s="95"/>
      <c r="S126" s="95"/>
      <c r="T126" s="95"/>
      <c r="U126" s="95">
        <f>SUM(R126:T126)</f>
        <v>0</v>
      </c>
      <c r="V126" s="95">
        <v>0.05</v>
      </c>
      <c r="W126" s="95">
        <f t="shared" si="52"/>
        <v>0</v>
      </c>
      <c r="X126" s="95">
        <v>0.61</v>
      </c>
      <c r="Y126" s="95">
        <v>0.4</v>
      </c>
    </row>
    <row r="127" spans="1:25" x14ac:dyDescent="0.2">
      <c r="A127" s="210" t="s">
        <v>585</v>
      </c>
      <c r="C127" s="116"/>
      <c r="D127" s="6" t="s">
        <v>112</v>
      </c>
      <c r="E127" s="12" t="s">
        <v>200</v>
      </c>
      <c r="F127" s="34">
        <f t="shared" ref="F127" si="81">+L127</f>
        <v>73</v>
      </c>
      <c r="G127" s="35">
        <f t="shared" ref="G127" si="82">+N127</f>
        <v>56</v>
      </c>
      <c r="H127" s="23">
        <f t="shared" si="80"/>
        <v>54.32</v>
      </c>
      <c r="I127" s="24">
        <f t="shared" si="80"/>
        <v>53.199999999999996</v>
      </c>
      <c r="J127" s="25">
        <f t="shared" si="80"/>
        <v>52.64</v>
      </c>
      <c r="L127" s="99">
        <v>73</v>
      </c>
      <c r="M127" s="182">
        <f t="shared" si="53"/>
        <v>65</v>
      </c>
      <c r="N127" s="99">
        <v>56</v>
      </c>
      <c r="O127" s="182">
        <f t="shared" si="54"/>
        <v>50</v>
      </c>
      <c r="P127" s="88"/>
      <c r="Q127" s="94" t="s">
        <v>324</v>
      </c>
      <c r="R127" s="95">
        <v>23</v>
      </c>
      <c r="S127" s="95">
        <f>325/40</f>
        <v>8.125</v>
      </c>
      <c r="T127" s="95"/>
      <c r="U127" s="95">
        <f t="shared" si="51"/>
        <v>31.125</v>
      </c>
      <c r="V127" s="95">
        <v>0.2</v>
      </c>
      <c r="W127" s="95">
        <f t="shared" si="52"/>
        <v>37.35</v>
      </c>
      <c r="X127" s="95">
        <v>0.24000000000000002</v>
      </c>
      <c r="Y127" s="95">
        <v>0.3</v>
      </c>
    </row>
    <row r="128" spans="1:25" x14ac:dyDescent="0.2">
      <c r="A128" s="211" t="s">
        <v>799</v>
      </c>
      <c r="B128" s="60"/>
      <c r="C128" s="117"/>
      <c r="D128" s="7" t="s">
        <v>800</v>
      </c>
      <c r="E128" s="13" t="s">
        <v>14</v>
      </c>
      <c r="F128" s="34">
        <f t="shared" ref="F128:F129" si="83">+M128</f>
        <v>46</v>
      </c>
      <c r="G128" s="35">
        <f t="shared" ref="G128:G129" si="84">+O128</f>
        <v>36</v>
      </c>
      <c r="H128" s="23">
        <f t="shared" si="80"/>
        <v>34.92</v>
      </c>
      <c r="I128" s="24">
        <f t="shared" si="80"/>
        <v>34.199999999999996</v>
      </c>
      <c r="J128" s="25">
        <f t="shared" si="80"/>
        <v>33.839999999999996</v>
      </c>
      <c r="L128" s="77">
        <v>40</v>
      </c>
      <c r="M128" s="99">
        <v>46</v>
      </c>
      <c r="N128" s="77">
        <v>25</v>
      </c>
      <c r="O128" s="99">
        <v>36</v>
      </c>
      <c r="P128" s="88"/>
      <c r="Q128" s="94" t="s">
        <v>352</v>
      </c>
      <c r="R128" s="95"/>
      <c r="S128" s="95"/>
      <c r="T128" s="95"/>
      <c r="U128" s="95">
        <f t="shared" si="51"/>
        <v>0</v>
      </c>
      <c r="V128" s="95">
        <v>0.2</v>
      </c>
      <c r="W128" s="95">
        <f t="shared" si="52"/>
        <v>0</v>
      </c>
      <c r="X128" s="95">
        <v>2.3099999999999996</v>
      </c>
      <c r="Y128" s="95">
        <v>0.6</v>
      </c>
    </row>
    <row r="129" spans="1:25" x14ac:dyDescent="0.2">
      <c r="A129" s="211" t="s">
        <v>588</v>
      </c>
      <c r="B129" s="60"/>
      <c r="C129" s="117"/>
      <c r="D129" s="7" t="s">
        <v>798</v>
      </c>
      <c r="E129" s="13" t="s">
        <v>14</v>
      </c>
      <c r="F129" s="34">
        <f t="shared" si="83"/>
        <v>36</v>
      </c>
      <c r="G129" s="35">
        <f t="shared" si="84"/>
        <v>26</v>
      </c>
      <c r="H129" s="23">
        <f t="shared" si="80"/>
        <v>25.22</v>
      </c>
      <c r="I129" s="24">
        <f t="shared" si="80"/>
        <v>24.7</v>
      </c>
      <c r="J129" s="25">
        <f t="shared" si="80"/>
        <v>24.439999999999998</v>
      </c>
      <c r="L129" s="77">
        <v>40</v>
      </c>
      <c r="M129" s="99">
        <v>36</v>
      </c>
      <c r="N129" s="77">
        <v>25</v>
      </c>
      <c r="O129" s="99">
        <v>26</v>
      </c>
      <c r="P129" s="88"/>
      <c r="Q129" s="94" t="s">
        <v>352</v>
      </c>
      <c r="R129" s="95"/>
      <c r="S129" s="95"/>
      <c r="T129" s="95"/>
      <c r="U129" s="95">
        <f t="shared" ref="U129" si="85">SUM(R129:T129)</f>
        <v>0</v>
      </c>
      <c r="V129" s="95">
        <v>0.2</v>
      </c>
      <c r="W129" s="95">
        <f t="shared" ref="W129" si="86">+U129*(1+V129)</f>
        <v>0</v>
      </c>
      <c r="X129" s="95">
        <v>2.3099999999999996</v>
      </c>
      <c r="Y129" s="95">
        <v>0.6</v>
      </c>
    </row>
    <row r="130" spans="1:25" x14ac:dyDescent="0.2">
      <c r="A130" s="211" t="s">
        <v>781</v>
      </c>
      <c r="B130" s="60"/>
      <c r="C130" s="117"/>
      <c r="D130" s="7" t="s">
        <v>782</v>
      </c>
      <c r="E130" s="13" t="s">
        <v>14</v>
      </c>
      <c r="F130" s="34">
        <f>+M130</f>
        <v>42</v>
      </c>
      <c r="G130" s="35">
        <f>+O130</f>
        <v>32</v>
      </c>
      <c r="H130" s="23">
        <f t="shared" si="80"/>
        <v>31.04</v>
      </c>
      <c r="I130" s="24">
        <f t="shared" si="80"/>
        <v>30.4</v>
      </c>
      <c r="J130" s="25">
        <f t="shared" si="80"/>
        <v>30.08</v>
      </c>
      <c r="L130" s="77">
        <v>38</v>
      </c>
      <c r="M130" s="99">
        <v>42</v>
      </c>
      <c r="N130" s="77">
        <v>30</v>
      </c>
      <c r="O130" s="99">
        <v>32</v>
      </c>
      <c r="P130" s="88"/>
      <c r="Q130" s="94" t="s">
        <v>812</v>
      </c>
      <c r="R130" s="95"/>
      <c r="S130" s="95"/>
      <c r="T130" s="95"/>
      <c r="U130" s="95">
        <f t="shared" si="51"/>
        <v>0</v>
      </c>
      <c r="V130" s="95">
        <v>0.2</v>
      </c>
      <c r="W130" s="95">
        <f t="shared" si="52"/>
        <v>0</v>
      </c>
      <c r="X130" s="95">
        <v>2.3099999999999996</v>
      </c>
      <c r="Y130" s="95">
        <v>0.6</v>
      </c>
    </row>
    <row r="131" spans="1:25" x14ac:dyDescent="0.2">
      <c r="A131" s="14"/>
      <c r="B131" s="20"/>
      <c r="C131" s="20"/>
      <c r="D131" s="2" t="s">
        <v>114</v>
      </c>
      <c r="E131" s="20"/>
      <c r="F131" s="49"/>
      <c r="G131" s="50"/>
      <c r="H131" s="50"/>
      <c r="I131" s="50"/>
      <c r="J131" s="50"/>
      <c r="L131" s="259"/>
      <c r="M131" s="182"/>
      <c r="N131" s="260"/>
      <c r="O131" s="182"/>
      <c r="P131" s="88"/>
      <c r="U131" s="1">
        <f t="shared" si="51"/>
        <v>0</v>
      </c>
      <c r="W131" s="1">
        <f t="shared" si="52"/>
        <v>0</v>
      </c>
    </row>
    <row r="132" spans="1:25" x14ac:dyDescent="0.2">
      <c r="A132" s="207" t="s">
        <v>570</v>
      </c>
      <c r="B132" s="61"/>
      <c r="C132" s="118"/>
      <c r="D132" s="8" t="s">
        <v>115</v>
      </c>
      <c r="E132" s="15" t="s">
        <v>192</v>
      </c>
      <c r="F132" s="34">
        <f t="shared" ref="F132" si="87">+L132</f>
        <v>48</v>
      </c>
      <c r="G132" s="35">
        <f t="shared" ref="G132" si="88">+N132</f>
        <v>33</v>
      </c>
      <c r="H132" s="23">
        <f t="shared" ref="H132:J139" si="89">$G132*(1-H$1)</f>
        <v>32.01</v>
      </c>
      <c r="I132" s="24">
        <f t="shared" si="89"/>
        <v>31.349999999999998</v>
      </c>
      <c r="J132" s="25">
        <f t="shared" si="89"/>
        <v>31.02</v>
      </c>
      <c r="L132" s="101">
        <v>48</v>
      </c>
      <c r="M132" s="182">
        <f t="shared" si="53"/>
        <v>38</v>
      </c>
      <c r="N132" s="101">
        <v>33</v>
      </c>
      <c r="O132" s="182">
        <f t="shared" ref="O132:O139" si="90">ROUND(+W132*(1+X132)*(1+$R$1),0)</f>
        <v>26</v>
      </c>
      <c r="P132" s="88"/>
      <c r="Q132" s="94" t="s">
        <v>345</v>
      </c>
      <c r="R132" s="95">
        <v>12</v>
      </c>
      <c r="S132" s="95"/>
      <c r="T132" s="95"/>
      <c r="U132" s="95">
        <f>SUM(R132:T132)</f>
        <v>12</v>
      </c>
      <c r="V132" s="95">
        <v>0.2</v>
      </c>
      <c r="W132" s="95">
        <f>+U132*(1+V132)</f>
        <v>14.399999999999999</v>
      </c>
      <c r="X132" s="95">
        <v>0.68</v>
      </c>
      <c r="Y132" s="95">
        <v>0.45</v>
      </c>
    </row>
    <row r="133" spans="1:25" x14ac:dyDescent="0.2">
      <c r="A133" s="210" t="s">
        <v>569</v>
      </c>
      <c r="C133" s="116"/>
      <c r="D133" s="6" t="s">
        <v>116</v>
      </c>
      <c r="E133" s="12" t="s">
        <v>192</v>
      </c>
      <c r="F133" s="34">
        <f>+M133</f>
        <v>63</v>
      </c>
      <c r="G133" s="35">
        <f>+O133</f>
        <v>45</v>
      </c>
      <c r="H133" s="23">
        <f t="shared" si="89"/>
        <v>43.65</v>
      </c>
      <c r="I133" s="24">
        <f t="shared" si="89"/>
        <v>42.75</v>
      </c>
      <c r="J133" s="25">
        <f t="shared" si="89"/>
        <v>42.3</v>
      </c>
      <c r="L133" s="76">
        <v>62</v>
      </c>
      <c r="M133" s="99">
        <f t="shared" si="53"/>
        <v>63</v>
      </c>
      <c r="N133" s="76">
        <v>44</v>
      </c>
      <c r="O133" s="99">
        <f t="shared" si="90"/>
        <v>45</v>
      </c>
      <c r="P133" s="88"/>
      <c r="Q133" s="94" t="s">
        <v>347</v>
      </c>
      <c r="R133" s="95">
        <v>20.95</v>
      </c>
      <c r="S133" s="95"/>
      <c r="T133" s="95"/>
      <c r="U133" s="95">
        <f t="shared" si="51"/>
        <v>20.95</v>
      </c>
      <c r="V133" s="95">
        <v>0.2</v>
      </c>
      <c r="W133" s="95">
        <f t="shared" si="52"/>
        <v>25.139999999999997</v>
      </c>
      <c r="X133" s="95">
        <v>0.66</v>
      </c>
      <c r="Y133" s="95">
        <v>0.4</v>
      </c>
    </row>
    <row r="134" spans="1:25" x14ac:dyDescent="0.2">
      <c r="A134" s="210" t="s">
        <v>571</v>
      </c>
      <c r="C134" s="116"/>
      <c r="D134" s="6" t="s">
        <v>117</v>
      </c>
      <c r="E134" s="12" t="s">
        <v>192</v>
      </c>
      <c r="F134" s="34">
        <f t="shared" ref="F134:F139" si="91">+M134</f>
        <v>56</v>
      </c>
      <c r="G134" s="35">
        <f t="shared" ref="G134:G139" si="92">+O134</f>
        <v>39</v>
      </c>
      <c r="H134" s="23">
        <f t="shared" si="89"/>
        <v>37.83</v>
      </c>
      <c r="I134" s="24">
        <f t="shared" si="89"/>
        <v>37.049999999999997</v>
      </c>
      <c r="J134" s="25">
        <f t="shared" si="89"/>
        <v>36.659999999999997</v>
      </c>
      <c r="L134" s="76">
        <v>55</v>
      </c>
      <c r="M134" s="99">
        <f t="shared" si="53"/>
        <v>56</v>
      </c>
      <c r="N134" s="76">
        <v>38</v>
      </c>
      <c r="O134" s="99">
        <f t="shared" si="90"/>
        <v>39</v>
      </c>
      <c r="P134" s="88"/>
      <c r="Q134" s="94" t="s">
        <v>345</v>
      </c>
      <c r="R134" s="95">
        <v>17.850000000000001</v>
      </c>
      <c r="S134" s="95"/>
      <c r="T134" s="95"/>
      <c r="U134" s="95">
        <f t="shared" si="51"/>
        <v>17.850000000000001</v>
      </c>
      <c r="V134" s="95">
        <v>0.2</v>
      </c>
      <c r="W134" s="95">
        <f t="shared" si="52"/>
        <v>21.42</v>
      </c>
      <c r="X134" s="95">
        <v>0.7</v>
      </c>
      <c r="Y134" s="95">
        <v>0.42</v>
      </c>
    </row>
    <row r="135" spans="1:25" x14ac:dyDescent="0.2">
      <c r="A135" s="210" t="s">
        <v>566</v>
      </c>
      <c r="C135" s="116"/>
      <c r="D135" s="6" t="s">
        <v>118</v>
      </c>
      <c r="E135" s="12" t="s">
        <v>192</v>
      </c>
      <c r="F135" s="34">
        <f t="shared" si="91"/>
        <v>56</v>
      </c>
      <c r="G135" s="35">
        <f t="shared" si="92"/>
        <v>39</v>
      </c>
      <c r="H135" s="23">
        <f t="shared" si="89"/>
        <v>37.83</v>
      </c>
      <c r="I135" s="24">
        <f t="shared" si="89"/>
        <v>37.049999999999997</v>
      </c>
      <c r="J135" s="25">
        <f t="shared" si="89"/>
        <v>36.659999999999997</v>
      </c>
      <c r="L135" s="76">
        <v>55</v>
      </c>
      <c r="M135" s="99">
        <f t="shared" si="53"/>
        <v>56</v>
      </c>
      <c r="N135" s="76">
        <v>38</v>
      </c>
      <c r="O135" s="99">
        <f t="shared" si="90"/>
        <v>39</v>
      </c>
      <c r="P135" s="88"/>
      <c r="Q135" s="94" t="s">
        <v>345</v>
      </c>
      <c r="R135" s="95">
        <v>18</v>
      </c>
      <c r="S135" s="95"/>
      <c r="T135" s="95"/>
      <c r="U135" s="95">
        <f t="shared" si="51"/>
        <v>18</v>
      </c>
      <c r="V135" s="95">
        <v>0.2</v>
      </c>
      <c r="W135" s="95">
        <f t="shared" si="52"/>
        <v>21.599999999999998</v>
      </c>
      <c r="X135" s="95">
        <v>0.66</v>
      </c>
      <c r="Y135" s="95">
        <v>0.44</v>
      </c>
    </row>
    <row r="136" spans="1:25" x14ac:dyDescent="0.2">
      <c r="A136" s="210" t="s">
        <v>567</v>
      </c>
      <c r="C136" s="116"/>
      <c r="D136" s="6" t="s">
        <v>119</v>
      </c>
      <c r="E136" s="12" t="s">
        <v>192</v>
      </c>
      <c r="F136" s="34">
        <f t="shared" si="91"/>
        <v>56</v>
      </c>
      <c r="G136" s="35">
        <f t="shared" si="92"/>
        <v>39</v>
      </c>
      <c r="H136" s="23">
        <f t="shared" si="89"/>
        <v>37.83</v>
      </c>
      <c r="I136" s="24">
        <f t="shared" si="89"/>
        <v>37.049999999999997</v>
      </c>
      <c r="J136" s="25">
        <f t="shared" si="89"/>
        <v>36.659999999999997</v>
      </c>
      <c r="L136" s="76">
        <v>55</v>
      </c>
      <c r="M136" s="99">
        <f t="shared" si="53"/>
        <v>56</v>
      </c>
      <c r="N136" s="76">
        <v>38</v>
      </c>
      <c r="O136" s="99">
        <f t="shared" si="90"/>
        <v>39</v>
      </c>
      <c r="P136" s="88"/>
      <c r="Q136" s="94" t="s">
        <v>345</v>
      </c>
      <c r="R136" s="95">
        <v>18</v>
      </c>
      <c r="S136" s="95"/>
      <c r="T136" s="95"/>
      <c r="U136" s="95">
        <f t="shared" si="51"/>
        <v>18</v>
      </c>
      <c r="V136" s="95">
        <v>0.2</v>
      </c>
      <c r="W136" s="95">
        <f t="shared" si="52"/>
        <v>21.599999999999998</v>
      </c>
      <c r="X136" s="95">
        <v>0.66</v>
      </c>
      <c r="Y136" s="95">
        <v>0.44</v>
      </c>
    </row>
    <row r="137" spans="1:25" x14ac:dyDescent="0.2">
      <c r="A137" s="210" t="s">
        <v>568</v>
      </c>
      <c r="C137" s="116"/>
      <c r="D137" s="6" t="s">
        <v>212</v>
      </c>
      <c r="E137" s="12" t="s">
        <v>192</v>
      </c>
      <c r="F137" s="34">
        <f t="shared" si="91"/>
        <v>82</v>
      </c>
      <c r="G137" s="35">
        <f t="shared" si="92"/>
        <v>61</v>
      </c>
      <c r="H137" s="23">
        <f t="shared" si="89"/>
        <v>59.17</v>
      </c>
      <c r="I137" s="24">
        <f t="shared" si="89"/>
        <v>57.949999999999996</v>
      </c>
      <c r="J137" s="25">
        <f t="shared" si="89"/>
        <v>57.339999999999996</v>
      </c>
      <c r="L137" s="76">
        <v>72</v>
      </c>
      <c r="M137" s="270">
        <f t="shared" si="53"/>
        <v>82</v>
      </c>
      <c r="N137" s="76">
        <v>53</v>
      </c>
      <c r="O137" s="270">
        <f t="shared" si="90"/>
        <v>61</v>
      </c>
      <c r="P137" s="88" t="s">
        <v>468</v>
      </c>
      <c r="Q137" s="94" t="s">
        <v>346</v>
      </c>
      <c r="R137" s="186">
        <f>27.25+1</f>
        <v>28.25</v>
      </c>
      <c r="S137" s="95"/>
      <c r="T137" s="95"/>
      <c r="U137" s="95">
        <f t="shared" si="51"/>
        <v>28.25</v>
      </c>
      <c r="V137" s="95">
        <v>0.2</v>
      </c>
      <c r="W137" s="95">
        <f t="shared" si="52"/>
        <v>33.9</v>
      </c>
      <c r="X137" s="95">
        <v>0.66</v>
      </c>
      <c r="Y137" s="95">
        <v>0.35</v>
      </c>
    </row>
    <row r="138" spans="1:25" x14ac:dyDescent="0.2">
      <c r="A138" s="210" t="s">
        <v>573</v>
      </c>
      <c r="C138" s="116"/>
      <c r="D138" s="6" t="s">
        <v>120</v>
      </c>
      <c r="E138" s="12" t="s">
        <v>192</v>
      </c>
      <c r="F138" s="34">
        <f t="shared" si="91"/>
        <v>83</v>
      </c>
      <c r="G138" s="35">
        <f t="shared" si="92"/>
        <v>59</v>
      </c>
      <c r="H138" s="23">
        <f t="shared" si="89"/>
        <v>57.23</v>
      </c>
      <c r="I138" s="24">
        <f t="shared" si="89"/>
        <v>56.05</v>
      </c>
      <c r="J138" s="25">
        <f t="shared" si="89"/>
        <v>55.459999999999994</v>
      </c>
      <c r="L138" s="76">
        <v>75</v>
      </c>
      <c r="M138" s="270">
        <f t="shared" si="53"/>
        <v>83</v>
      </c>
      <c r="N138" s="76">
        <v>53</v>
      </c>
      <c r="O138" s="270">
        <f t="shared" si="90"/>
        <v>59</v>
      </c>
      <c r="P138" s="88"/>
      <c r="Q138" s="94" t="s">
        <v>346</v>
      </c>
      <c r="R138" s="186">
        <f>26.75+1</f>
        <v>27.75</v>
      </c>
      <c r="S138" s="95"/>
      <c r="T138" s="95"/>
      <c r="U138" s="95">
        <f t="shared" si="51"/>
        <v>27.75</v>
      </c>
      <c r="V138" s="95">
        <v>0.2</v>
      </c>
      <c r="W138" s="95">
        <f t="shared" si="52"/>
        <v>33.299999999999997</v>
      </c>
      <c r="X138" s="95">
        <v>0.65</v>
      </c>
      <c r="Y138" s="95">
        <v>0.4</v>
      </c>
    </row>
    <row r="139" spans="1:25" x14ac:dyDescent="0.2">
      <c r="A139" s="211" t="s">
        <v>572</v>
      </c>
      <c r="B139" s="60"/>
      <c r="C139" s="117"/>
      <c r="D139" s="7" t="s">
        <v>121</v>
      </c>
      <c r="E139" s="13" t="s">
        <v>192</v>
      </c>
      <c r="F139" s="34">
        <f t="shared" si="91"/>
        <v>83</v>
      </c>
      <c r="G139" s="35">
        <f t="shared" si="92"/>
        <v>65</v>
      </c>
      <c r="H139" s="23">
        <f t="shared" si="89"/>
        <v>63.05</v>
      </c>
      <c r="I139" s="24">
        <f t="shared" si="89"/>
        <v>61.75</v>
      </c>
      <c r="J139" s="25">
        <f t="shared" si="89"/>
        <v>61.099999999999994</v>
      </c>
      <c r="L139" s="77">
        <v>75</v>
      </c>
      <c r="M139" s="270">
        <f t="shared" si="53"/>
        <v>83</v>
      </c>
      <c r="N139" s="77">
        <v>54</v>
      </c>
      <c r="O139" s="270">
        <f t="shared" si="90"/>
        <v>65</v>
      </c>
      <c r="P139" s="88"/>
      <c r="Q139" s="94" t="s">
        <v>346</v>
      </c>
      <c r="R139" s="186">
        <f>29.5+1</f>
        <v>30.5</v>
      </c>
      <c r="S139" s="95"/>
      <c r="T139" s="95"/>
      <c r="U139" s="95">
        <f t="shared" si="51"/>
        <v>30.5</v>
      </c>
      <c r="V139" s="95">
        <v>0.2</v>
      </c>
      <c r="W139" s="95">
        <f t="shared" si="52"/>
        <v>36.6</v>
      </c>
      <c r="X139" s="95">
        <v>0.65</v>
      </c>
      <c r="Y139" s="95">
        <v>0.27</v>
      </c>
    </row>
    <row r="140" spans="1:25" x14ac:dyDescent="0.2">
      <c r="A140" s="14"/>
      <c r="B140" s="20"/>
      <c r="C140" s="20"/>
      <c r="D140" s="2" t="s">
        <v>122</v>
      </c>
      <c r="E140" s="14"/>
      <c r="F140" s="48"/>
      <c r="G140" s="48"/>
      <c r="H140" s="48"/>
      <c r="I140" s="48"/>
      <c r="J140" s="48"/>
      <c r="L140" s="258"/>
      <c r="M140" s="182"/>
      <c r="N140" s="258"/>
      <c r="O140" s="182"/>
      <c r="P140" s="88"/>
      <c r="U140" s="1">
        <f t="shared" si="51"/>
        <v>0</v>
      </c>
      <c r="W140" s="1">
        <f t="shared" si="52"/>
        <v>0</v>
      </c>
    </row>
    <row r="141" spans="1:25" x14ac:dyDescent="0.2">
      <c r="A141" s="207" t="s">
        <v>641</v>
      </c>
      <c r="B141" s="61"/>
      <c r="C141" s="118"/>
      <c r="D141" s="8" t="s">
        <v>123</v>
      </c>
      <c r="E141" s="15" t="s">
        <v>188</v>
      </c>
      <c r="F141" s="34">
        <f t="shared" ref="F141:F144" si="93">+M141</f>
        <v>72</v>
      </c>
      <c r="G141" s="35">
        <f t="shared" ref="G141:G144" si="94">+O141</f>
        <v>49</v>
      </c>
      <c r="H141" s="23">
        <f t="shared" ref="H141:J155" si="95">$G141*(1-H$1)</f>
        <v>47.53</v>
      </c>
      <c r="I141" s="24">
        <f t="shared" si="95"/>
        <v>46.55</v>
      </c>
      <c r="J141" s="25">
        <f t="shared" si="95"/>
        <v>46.059999999999995</v>
      </c>
      <c r="L141" s="79">
        <v>64</v>
      </c>
      <c r="M141" s="99">
        <f t="shared" si="53"/>
        <v>72</v>
      </c>
      <c r="N141" s="79">
        <v>44</v>
      </c>
      <c r="O141" s="99">
        <f t="shared" si="54"/>
        <v>49</v>
      </c>
      <c r="P141" s="88"/>
      <c r="Q141" s="94" t="s">
        <v>801</v>
      </c>
      <c r="R141" s="95">
        <v>28.25</v>
      </c>
      <c r="S141" s="95"/>
      <c r="T141" s="95"/>
      <c r="U141" s="95">
        <f t="shared" si="51"/>
        <v>28.25</v>
      </c>
      <c r="V141" s="95">
        <v>0.05</v>
      </c>
      <c r="W141" s="95">
        <f t="shared" si="52"/>
        <v>29.662500000000001</v>
      </c>
      <c r="X141" s="95">
        <v>0.54</v>
      </c>
      <c r="Y141" s="95">
        <v>0.45</v>
      </c>
    </row>
    <row r="142" spans="1:25" x14ac:dyDescent="0.2">
      <c r="A142" s="210" t="s">
        <v>640</v>
      </c>
      <c r="C142" s="116"/>
      <c r="D142" s="6" t="s">
        <v>124</v>
      </c>
      <c r="E142" s="12" t="s">
        <v>188</v>
      </c>
      <c r="F142" s="34">
        <f t="shared" si="93"/>
        <v>475</v>
      </c>
      <c r="G142" s="35">
        <f t="shared" si="94"/>
        <v>350</v>
      </c>
      <c r="H142" s="23">
        <f t="shared" si="95"/>
        <v>339.5</v>
      </c>
      <c r="I142" s="24">
        <f t="shared" si="95"/>
        <v>332.5</v>
      </c>
      <c r="J142" s="25">
        <f t="shared" si="95"/>
        <v>329</v>
      </c>
      <c r="L142" s="76">
        <v>403</v>
      </c>
      <c r="M142" s="99">
        <f t="shared" si="53"/>
        <v>475</v>
      </c>
      <c r="N142" s="76">
        <v>297</v>
      </c>
      <c r="O142" s="99">
        <f t="shared" si="54"/>
        <v>350</v>
      </c>
      <c r="P142" s="88"/>
      <c r="Q142" s="94" t="s">
        <v>324</v>
      </c>
      <c r="R142" s="95">
        <v>225</v>
      </c>
      <c r="S142" s="95"/>
      <c r="T142" s="95"/>
      <c r="U142" s="95">
        <f t="shared" ref="U142:U195" si="96">SUM(R142:T142)</f>
        <v>225</v>
      </c>
      <c r="V142" s="95"/>
      <c r="W142" s="95">
        <f t="shared" ref="W142:W195" si="97">+U142*(1+V142)</f>
        <v>225</v>
      </c>
      <c r="X142" s="95">
        <v>0.442</v>
      </c>
      <c r="Y142" s="95">
        <v>0.35499999999999998</v>
      </c>
    </row>
    <row r="143" spans="1:25" x14ac:dyDescent="0.2">
      <c r="A143" s="210" t="s">
        <v>639</v>
      </c>
      <c r="C143" s="116"/>
      <c r="D143" s="6" t="s">
        <v>125</v>
      </c>
      <c r="E143" s="12" t="s">
        <v>188</v>
      </c>
      <c r="F143" s="34">
        <f t="shared" si="93"/>
        <v>38</v>
      </c>
      <c r="G143" s="35">
        <f t="shared" si="94"/>
        <v>29</v>
      </c>
      <c r="H143" s="23">
        <f t="shared" si="95"/>
        <v>28.13</v>
      </c>
      <c r="I143" s="24">
        <f t="shared" si="95"/>
        <v>27.549999999999997</v>
      </c>
      <c r="J143" s="25">
        <f t="shared" si="95"/>
        <v>27.259999999999998</v>
      </c>
      <c r="L143" s="76">
        <v>32</v>
      </c>
      <c r="M143" s="99">
        <f t="shared" ref="M143:M190" si="98">ROUND(+W143*(1+X143)*(1+Y143)*(1+$R$1),0)</f>
        <v>38</v>
      </c>
      <c r="N143" s="76">
        <v>24</v>
      </c>
      <c r="O143" s="99">
        <f t="shared" ref="O143:O190" si="99">ROUND(+W143*(1+X143)*(1+$R$1),0)</f>
        <v>29</v>
      </c>
      <c r="P143" s="88"/>
      <c r="Q143" s="94" t="s">
        <v>324</v>
      </c>
      <c r="R143" s="95">
        <f>225/12</f>
        <v>18.75</v>
      </c>
      <c r="S143" s="95"/>
      <c r="T143" s="95"/>
      <c r="U143" s="95">
        <f t="shared" si="96"/>
        <v>18.75</v>
      </c>
      <c r="V143" s="95"/>
      <c r="W143" s="95">
        <f t="shared" si="97"/>
        <v>18.75</v>
      </c>
      <c r="X143" s="95">
        <v>0.41000000000000003</v>
      </c>
      <c r="Y143" s="95">
        <v>0.33500000000000002</v>
      </c>
    </row>
    <row r="144" spans="1:25" x14ac:dyDescent="0.2">
      <c r="A144" s="212" t="s">
        <v>625</v>
      </c>
      <c r="C144" s="131"/>
      <c r="D144" s="6" t="s">
        <v>126</v>
      </c>
      <c r="E144" s="12" t="s">
        <v>193</v>
      </c>
      <c r="F144" s="34">
        <f t="shared" si="93"/>
        <v>34</v>
      </c>
      <c r="G144" s="35">
        <f t="shared" si="94"/>
        <v>24</v>
      </c>
      <c r="H144" s="23">
        <f t="shared" si="95"/>
        <v>23.28</v>
      </c>
      <c r="I144" s="24">
        <f t="shared" si="95"/>
        <v>22.799999999999997</v>
      </c>
      <c r="J144" s="25">
        <f t="shared" si="95"/>
        <v>22.56</v>
      </c>
      <c r="L144" s="76">
        <v>30</v>
      </c>
      <c r="M144" s="99">
        <f t="shared" si="98"/>
        <v>34</v>
      </c>
      <c r="N144" s="76">
        <v>21</v>
      </c>
      <c r="O144" s="99">
        <f t="shared" si="99"/>
        <v>24</v>
      </c>
      <c r="P144" s="88"/>
      <c r="Q144" s="94" t="s">
        <v>335</v>
      </c>
      <c r="R144" s="95">
        <v>13.86</v>
      </c>
      <c r="S144" s="95"/>
      <c r="T144" s="95"/>
      <c r="U144" s="95">
        <f t="shared" si="96"/>
        <v>13.86</v>
      </c>
      <c r="V144" s="95"/>
      <c r="W144" s="95">
        <f t="shared" si="97"/>
        <v>13.86</v>
      </c>
      <c r="X144" s="95">
        <v>0.61</v>
      </c>
      <c r="Y144" s="95">
        <v>0.4</v>
      </c>
    </row>
    <row r="145" spans="1:25" x14ac:dyDescent="0.2">
      <c r="A145" s="212" t="s">
        <v>627</v>
      </c>
      <c r="C145" s="131"/>
      <c r="D145" s="6" t="s">
        <v>127</v>
      </c>
      <c r="E145" s="12" t="s">
        <v>193</v>
      </c>
      <c r="F145" s="34">
        <f t="shared" ref="F145:F154" si="100">+L145</f>
        <v>175</v>
      </c>
      <c r="G145" s="35">
        <f t="shared" ref="G145:G154" si="101">+N145</f>
        <v>125</v>
      </c>
      <c r="H145" s="23">
        <f t="shared" si="95"/>
        <v>121.25</v>
      </c>
      <c r="I145" s="24">
        <f t="shared" si="95"/>
        <v>118.75</v>
      </c>
      <c r="J145" s="25">
        <f t="shared" si="95"/>
        <v>117.5</v>
      </c>
      <c r="L145" s="99">
        <v>175</v>
      </c>
      <c r="M145" s="182">
        <f t="shared" si="98"/>
        <v>189</v>
      </c>
      <c r="N145" s="99">
        <v>125</v>
      </c>
      <c r="O145" s="182">
        <f t="shared" si="99"/>
        <v>135</v>
      </c>
      <c r="P145" s="88" t="s">
        <v>811</v>
      </c>
      <c r="Q145" s="94" t="s">
        <v>335</v>
      </c>
      <c r="R145" s="95">
        <v>77.55</v>
      </c>
      <c r="S145" s="95"/>
      <c r="T145" s="95"/>
      <c r="U145" s="95">
        <f t="shared" si="96"/>
        <v>77.55</v>
      </c>
      <c r="V145" s="95"/>
      <c r="W145" s="95">
        <f t="shared" si="97"/>
        <v>77.55</v>
      </c>
      <c r="X145" s="95">
        <v>0.61</v>
      </c>
      <c r="Y145" s="95">
        <v>0.4</v>
      </c>
    </row>
    <row r="146" spans="1:25" x14ac:dyDescent="0.2">
      <c r="A146" s="212" t="s">
        <v>632</v>
      </c>
      <c r="C146" s="131"/>
      <c r="D146" s="6" t="s">
        <v>128</v>
      </c>
      <c r="E146" s="12" t="s">
        <v>193</v>
      </c>
      <c r="F146" s="34">
        <f t="shared" si="100"/>
        <v>251</v>
      </c>
      <c r="G146" s="35">
        <f t="shared" si="101"/>
        <v>179</v>
      </c>
      <c r="H146" s="23">
        <f t="shared" si="95"/>
        <v>173.63</v>
      </c>
      <c r="I146" s="24">
        <f t="shared" si="95"/>
        <v>170.04999999999998</v>
      </c>
      <c r="J146" s="25">
        <f t="shared" si="95"/>
        <v>168.26</v>
      </c>
      <c r="L146" s="99">
        <v>251</v>
      </c>
      <c r="M146" s="182">
        <f t="shared" si="98"/>
        <v>271</v>
      </c>
      <c r="N146" s="99">
        <v>179</v>
      </c>
      <c r="O146" s="182">
        <f t="shared" si="99"/>
        <v>194</v>
      </c>
      <c r="P146" s="88" t="s">
        <v>811</v>
      </c>
      <c r="Q146" s="94" t="s">
        <v>335</v>
      </c>
      <c r="R146" s="95">
        <v>111.33</v>
      </c>
      <c r="S146" s="95"/>
      <c r="T146" s="95"/>
      <c r="U146" s="95">
        <f t="shared" si="96"/>
        <v>111.33</v>
      </c>
      <c r="V146" s="95"/>
      <c r="W146" s="95">
        <f t="shared" si="97"/>
        <v>111.33</v>
      </c>
      <c r="X146" s="95">
        <v>0.61</v>
      </c>
      <c r="Y146" s="95">
        <v>0.4</v>
      </c>
    </row>
    <row r="147" spans="1:25" x14ac:dyDescent="0.2">
      <c r="A147" s="212" t="s">
        <v>626</v>
      </c>
      <c r="C147" s="131"/>
      <c r="D147" s="6" t="s">
        <v>129</v>
      </c>
      <c r="E147" s="12" t="s">
        <v>193</v>
      </c>
      <c r="F147" s="34">
        <f>+M147</f>
        <v>217</v>
      </c>
      <c r="G147" s="35">
        <f>+O147</f>
        <v>155</v>
      </c>
      <c r="H147" s="23">
        <f t="shared" si="95"/>
        <v>150.35</v>
      </c>
      <c r="I147" s="24">
        <f t="shared" si="95"/>
        <v>147.25</v>
      </c>
      <c r="J147" s="25">
        <f t="shared" si="95"/>
        <v>145.69999999999999</v>
      </c>
      <c r="L147" s="76">
        <v>180</v>
      </c>
      <c r="M147" s="99">
        <f t="shared" si="98"/>
        <v>217</v>
      </c>
      <c r="N147" s="76">
        <v>128</v>
      </c>
      <c r="O147" s="99">
        <f t="shared" si="99"/>
        <v>155</v>
      </c>
      <c r="P147" s="88"/>
      <c r="Q147" s="94" t="s">
        <v>335</v>
      </c>
      <c r="R147" s="95">
        <v>92.78</v>
      </c>
      <c r="S147" s="95"/>
      <c r="T147" s="95"/>
      <c r="U147" s="95">
        <f t="shared" si="96"/>
        <v>92.78</v>
      </c>
      <c r="V147" s="95"/>
      <c r="W147" s="95">
        <f t="shared" si="97"/>
        <v>92.78</v>
      </c>
      <c r="X147" s="95">
        <v>0.55000000000000004</v>
      </c>
      <c r="Y147" s="95">
        <v>0.4</v>
      </c>
    </row>
    <row r="148" spans="1:25" x14ac:dyDescent="0.2">
      <c r="A148" s="212" t="s">
        <v>630</v>
      </c>
      <c r="C148" s="131"/>
      <c r="D148" s="6" t="s">
        <v>130</v>
      </c>
      <c r="E148" s="12" t="s">
        <v>193</v>
      </c>
      <c r="F148" s="34">
        <f>+M148</f>
        <v>309</v>
      </c>
      <c r="G148" s="35">
        <f>+O148</f>
        <v>221</v>
      </c>
      <c r="H148" s="23">
        <f t="shared" si="95"/>
        <v>214.37</v>
      </c>
      <c r="I148" s="24">
        <f t="shared" si="95"/>
        <v>209.95</v>
      </c>
      <c r="J148" s="25">
        <f t="shared" si="95"/>
        <v>207.73999999999998</v>
      </c>
      <c r="L148" s="76">
        <v>255</v>
      </c>
      <c r="M148" s="99">
        <f t="shared" si="98"/>
        <v>309</v>
      </c>
      <c r="N148" s="76">
        <v>182</v>
      </c>
      <c r="O148" s="99">
        <f t="shared" si="99"/>
        <v>221</v>
      </c>
      <c r="P148" s="88"/>
      <c r="Q148" s="94" t="s">
        <v>335</v>
      </c>
      <c r="R148" s="95">
        <v>132.06</v>
      </c>
      <c r="S148" s="95"/>
      <c r="T148" s="95"/>
      <c r="U148" s="95">
        <f t="shared" si="96"/>
        <v>132.06</v>
      </c>
      <c r="V148" s="95"/>
      <c r="W148" s="95">
        <f t="shared" si="97"/>
        <v>132.06</v>
      </c>
      <c r="X148" s="95">
        <v>0.55000000000000004</v>
      </c>
      <c r="Y148" s="95">
        <v>0.4</v>
      </c>
    </row>
    <row r="149" spans="1:25" x14ac:dyDescent="0.2">
      <c r="A149" s="212" t="s">
        <v>789</v>
      </c>
      <c r="C149" s="131"/>
      <c r="D149" s="6" t="s">
        <v>790</v>
      </c>
      <c r="E149" s="12" t="s">
        <v>193</v>
      </c>
      <c r="F149" s="34">
        <f t="shared" si="100"/>
        <v>170</v>
      </c>
      <c r="G149" s="35">
        <f t="shared" si="101"/>
        <v>110.5</v>
      </c>
      <c r="H149" s="23">
        <f t="shared" si="95"/>
        <v>107.185</v>
      </c>
      <c r="I149" s="24">
        <f t="shared" si="95"/>
        <v>104.97499999999999</v>
      </c>
      <c r="J149" s="25">
        <f t="shared" si="95"/>
        <v>103.86999999999999</v>
      </c>
      <c r="L149" s="99">
        <v>170</v>
      </c>
      <c r="M149" s="182">
        <f t="shared" ref="M149" si="102">ROUND(+W149*(1+X149)*(1+Y149)*(1+$R$1),0)</f>
        <v>182</v>
      </c>
      <c r="N149" s="99">
        <v>110.5</v>
      </c>
      <c r="O149" s="182">
        <f>ROUND(+W149*(1+X149)*(1+$R$1),2)</f>
        <v>118.31</v>
      </c>
      <c r="P149" s="88" t="s">
        <v>811</v>
      </c>
      <c r="Q149" s="94" t="s">
        <v>335</v>
      </c>
      <c r="R149" s="95">
        <v>77.03</v>
      </c>
      <c r="S149" s="95"/>
      <c r="T149" s="95"/>
      <c r="U149" s="95">
        <f t="shared" ref="U149" si="103">SUM(R149:T149)</f>
        <v>77.03</v>
      </c>
      <c r="V149" s="95"/>
      <c r="W149" s="95">
        <f t="shared" ref="W149" si="104">+U149*(1+V149)</f>
        <v>77.03</v>
      </c>
      <c r="X149" s="95">
        <v>0.42214400000000007</v>
      </c>
      <c r="Y149" s="95">
        <v>0.53942857142857148</v>
      </c>
    </row>
    <row r="150" spans="1:25" x14ac:dyDescent="0.2">
      <c r="A150" s="212" t="s">
        <v>629</v>
      </c>
      <c r="C150" s="131"/>
      <c r="D150" s="6" t="s">
        <v>131</v>
      </c>
      <c r="E150" s="12" t="s">
        <v>193</v>
      </c>
      <c r="F150" s="34">
        <f>+M150</f>
        <v>167</v>
      </c>
      <c r="G150" s="35">
        <f>+O150</f>
        <v>119</v>
      </c>
      <c r="H150" s="23">
        <f t="shared" si="95"/>
        <v>115.42999999999999</v>
      </c>
      <c r="I150" s="24">
        <f t="shared" si="95"/>
        <v>113.05</v>
      </c>
      <c r="J150" s="25">
        <f t="shared" si="95"/>
        <v>111.86</v>
      </c>
      <c r="L150" s="76">
        <v>138</v>
      </c>
      <c r="M150" s="99">
        <f t="shared" si="98"/>
        <v>167</v>
      </c>
      <c r="N150" s="76">
        <v>98</v>
      </c>
      <c r="O150" s="99">
        <f t="shared" si="99"/>
        <v>119</v>
      </c>
      <c r="P150" s="88"/>
      <c r="Q150" s="94" t="s">
        <v>335</v>
      </c>
      <c r="R150" s="95">
        <v>71.08</v>
      </c>
      <c r="S150" s="95"/>
      <c r="T150" s="95"/>
      <c r="U150" s="95">
        <f t="shared" si="96"/>
        <v>71.08</v>
      </c>
      <c r="V150" s="95"/>
      <c r="W150" s="95">
        <f t="shared" si="97"/>
        <v>71.08</v>
      </c>
      <c r="X150" s="95">
        <v>0.55000000000000004</v>
      </c>
      <c r="Y150" s="95">
        <v>0.4</v>
      </c>
    </row>
    <row r="151" spans="1:25" x14ac:dyDescent="0.2">
      <c r="A151" s="212" t="s">
        <v>628</v>
      </c>
      <c r="C151" s="131"/>
      <c r="D151" s="6" t="s">
        <v>132</v>
      </c>
      <c r="E151" s="12" t="s">
        <v>193</v>
      </c>
      <c r="F151" s="34">
        <f>+M151</f>
        <v>43</v>
      </c>
      <c r="G151" s="35">
        <f>+O151</f>
        <v>28</v>
      </c>
      <c r="H151" s="23">
        <f t="shared" si="95"/>
        <v>27.16</v>
      </c>
      <c r="I151" s="24">
        <f t="shared" si="95"/>
        <v>26.599999999999998</v>
      </c>
      <c r="J151" s="25">
        <f t="shared" si="95"/>
        <v>26.32</v>
      </c>
      <c r="L151" s="76">
        <v>39</v>
      </c>
      <c r="M151" s="99">
        <f t="shared" si="98"/>
        <v>43</v>
      </c>
      <c r="N151" s="76">
        <v>26</v>
      </c>
      <c r="O151" s="99">
        <f t="shared" si="99"/>
        <v>28</v>
      </c>
      <c r="P151" s="88"/>
      <c r="Q151" s="94" t="s">
        <v>335</v>
      </c>
      <c r="R151" s="95">
        <v>14.83</v>
      </c>
      <c r="S151" s="95"/>
      <c r="T151" s="95"/>
      <c r="U151" s="95">
        <f t="shared" si="96"/>
        <v>14.83</v>
      </c>
      <c r="V151" s="95"/>
      <c r="W151" s="95">
        <f t="shared" si="97"/>
        <v>14.83</v>
      </c>
      <c r="X151" s="95">
        <v>0.76</v>
      </c>
      <c r="Y151" s="95">
        <v>0.52</v>
      </c>
    </row>
    <row r="152" spans="1:25" x14ac:dyDescent="0.2">
      <c r="A152" s="212" t="s">
        <v>631</v>
      </c>
      <c r="C152" s="131"/>
      <c r="D152" s="6" t="s">
        <v>133</v>
      </c>
      <c r="E152" s="12" t="s">
        <v>193</v>
      </c>
      <c r="F152" s="34">
        <f>+M152</f>
        <v>495</v>
      </c>
      <c r="G152" s="35">
        <f>+O152</f>
        <v>330</v>
      </c>
      <c r="H152" s="23">
        <f t="shared" si="95"/>
        <v>320.09999999999997</v>
      </c>
      <c r="I152" s="24">
        <f t="shared" si="95"/>
        <v>313.5</v>
      </c>
      <c r="J152" s="25">
        <f t="shared" si="95"/>
        <v>310.2</v>
      </c>
      <c r="L152" s="76">
        <v>450</v>
      </c>
      <c r="M152" s="99">
        <f t="shared" si="98"/>
        <v>495</v>
      </c>
      <c r="N152" s="76">
        <v>300</v>
      </c>
      <c r="O152" s="99">
        <f t="shared" si="99"/>
        <v>330</v>
      </c>
      <c r="P152" s="88"/>
      <c r="Q152" s="94" t="s">
        <v>335</v>
      </c>
      <c r="R152" s="95">
        <v>275.49</v>
      </c>
      <c r="S152" s="95"/>
      <c r="T152" s="95"/>
      <c r="U152" s="95">
        <f t="shared" si="96"/>
        <v>275.49</v>
      </c>
      <c r="V152" s="95"/>
      <c r="W152" s="95">
        <f t="shared" si="97"/>
        <v>275.49</v>
      </c>
      <c r="X152" s="95">
        <v>0.11</v>
      </c>
      <c r="Y152" s="95">
        <v>0.5</v>
      </c>
    </row>
    <row r="153" spans="1:25" x14ac:dyDescent="0.2">
      <c r="A153" s="205" t="s">
        <v>634</v>
      </c>
      <c r="C153" s="150"/>
      <c r="D153" s="6" t="s">
        <v>134</v>
      </c>
      <c r="E153" s="12" t="s">
        <v>194</v>
      </c>
      <c r="F153" s="34">
        <f t="shared" si="100"/>
        <v>79</v>
      </c>
      <c r="G153" s="35">
        <f t="shared" si="101"/>
        <v>60</v>
      </c>
      <c r="H153" s="23">
        <f t="shared" si="95"/>
        <v>58.199999999999996</v>
      </c>
      <c r="I153" s="24">
        <f t="shared" si="95"/>
        <v>57</v>
      </c>
      <c r="J153" s="25">
        <f t="shared" si="95"/>
        <v>56.4</v>
      </c>
      <c r="L153" s="99">
        <v>79</v>
      </c>
      <c r="M153" s="182">
        <f t="shared" si="98"/>
        <v>67</v>
      </c>
      <c r="N153" s="99">
        <v>60</v>
      </c>
      <c r="O153" s="182">
        <f t="shared" si="99"/>
        <v>51</v>
      </c>
      <c r="P153" s="88"/>
      <c r="Q153" s="94" t="s">
        <v>802</v>
      </c>
      <c r="R153" s="95">
        <v>31.5</v>
      </c>
      <c r="S153" s="95"/>
      <c r="T153" s="95"/>
      <c r="U153" s="95">
        <f t="shared" si="96"/>
        <v>31.5</v>
      </c>
      <c r="V153" s="95"/>
      <c r="W153" s="95">
        <f t="shared" si="97"/>
        <v>31.5</v>
      </c>
      <c r="X153" s="95">
        <v>0.51</v>
      </c>
      <c r="Y153" s="95">
        <v>0.31</v>
      </c>
    </row>
    <row r="154" spans="1:25" x14ac:dyDescent="0.2">
      <c r="A154" s="210" t="s">
        <v>633</v>
      </c>
      <c r="C154" s="116"/>
      <c r="D154" s="6" t="s">
        <v>135</v>
      </c>
      <c r="E154" s="12" t="s">
        <v>195</v>
      </c>
      <c r="F154" s="34">
        <f t="shared" si="100"/>
        <v>5</v>
      </c>
      <c r="G154" s="35">
        <f t="shared" si="101"/>
        <v>4</v>
      </c>
      <c r="H154" s="23">
        <f t="shared" si="95"/>
        <v>3.88</v>
      </c>
      <c r="I154" s="24">
        <f t="shared" si="95"/>
        <v>3.8</v>
      </c>
      <c r="J154" s="25">
        <f t="shared" si="95"/>
        <v>3.76</v>
      </c>
      <c r="L154" s="99">
        <v>5</v>
      </c>
      <c r="M154" s="182"/>
      <c r="N154" s="99">
        <v>4</v>
      </c>
      <c r="O154" s="182"/>
      <c r="P154" s="88"/>
      <c r="Q154" s="94"/>
      <c r="R154" s="95"/>
      <c r="S154" s="95"/>
      <c r="T154" s="95"/>
      <c r="U154" s="95">
        <f t="shared" si="96"/>
        <v>0</v>
      </c>
      <c r="V154" s="95"/>
      <c r="W154" s="95">
        <f t="shared" si="97"/>
        <v>0</v>
      </c>
      <c r="X154" s="95"/>
      <c r="Y154" s="95"/>
    </row>
    <row r="155" spans="1:25" x14ac:dyDescent="0.2">
      <c r="A155" s="212" t="s">
        <v>636</v>
      </c>
      <c r="B155" s="60"/>
      <c r="C155" s="131"/>
      <c r="D155" s="69" t="s">
        <v>136</v>
      </c>
      <c r="E155" s="12" t="s">
        <v>194</v>
      </c>
      <c r="F155" s="34">
        <f>+M155</f>
        <v>95</v>
      </c>
      <c r="G155" s="35">
        <f>+O155</f>
        <v>73</v>
      </c>
      <c r="H155" s="23">
        <f t="shared" si="95"/>
        <v>70.81</v>
      </c>
      <c r="I155" s="24">
        <f t="shared" si="95"/>
        <v>69.349999999999994</v>
      </c>
      <c r="J155" s="25">
        <f t="shared" si="95"/>
        <v>68.61999999999999</v>
      </c>
      <c r="L155" s="79">
        <v>91</v>
      </c>
      <c r="M155" s="99">
        <f t="shared" si="98"/>
        <v>95</v>
      </c>
      <c r="N155" s="79">
        <v>70</v>
      </c>
      <c r="O155" s="99">
        <f t="shared" si="99"/>
        <v>73</v>
      </c>
      <c r="P155" s="88"/>
      <c r="Q155" s="94" t="s">
        <v>802</v>
      </c>
      <c r="R155" s="95">
        <v>45</v>
      </c>
      <c r="S155" s="95"/>
      <c r="T155" s="95"/>
      <c r="U155" s="95">
        <f t="shared" si="96"/>
        <v>45</v>
      </c>
      <c r="V155" s="95"/>
      <c r="W155" s="95">
        <f t="shared" si="97"/>
        <v>45</v>
      </c>
      <c r="X155" s="95">
        <v>0.51</v>
      </c>
      <c r="Y155" s="95">
        <v>0.3</v>
      </c>
    </row>
    <row r="156" spans="1:25" x14ac:dyDescent="0.2">
      <c r="A156" s="58" t="s">
        <v>638</v>
      </c>
      <c r="B156" s="60"/>
      <c r="C156" s="263"/>
      <c r="D156" s="69" t="s">
        <v>154</v>
      </c>
      <c r="E156" s="12" t="s">
        <v>188</v>
      </c>
      <c r="F156" s="34">
        <f>+M156</f>
        <v>74</v>
      </c>
      <c r="G156" s="35">
        <f>+O156</f>
        <v>57</v>
      </c>
      <c r="H156" s="23">
        <f>$G156*(1-H$1)</f>
        <v>55.29</v>
      </c>
      <c r="I156" s="24">
        <f>$G156*(1-I$1)</f>
        <v>54.15</v>
      </c>
      <c r="J156" s="25">
        <f>$G156*(1-J$1)</f>
        <v>53.58</v>
      </c>
      <c r="L156" s="79">
        <v>70</v>
      </c>
      <c r="M156" s="99">
        <f t="shared" si="98"/>
        <v>74</v>
      </c>
      <c r="N156" s="79">
        <v>54</v>
      </c>
      <c r="O156" s="99">
        <f t="shared" si="99"/>
        <v>57</v>
      </c>
      <c r="P156" s="88"/>
      <c r="Q156" s="94" t="s">
        <v>806</v>
      </c>
      <c r="R156" s="95">
        <v>35</v>
      </c>
      <c r="S156" s="95"/>
      <c r="T156" s="95"/>
      <c r="U156" s="95">
        <f t="shared" si="96"/>
        <v>35</v>
      </c>
      <c r="V156" s="95"/>
      <c r="W156" s="95">
        <f t="shared" si="97"/>
        <v>35</v>
      </c>
      <c r="X156" s="95">
        <v>0.51</v>
      </c>
      <c r="Y156" s="95">
        <v>0.3</v>
      </c>
    </row>
    <row r="157" spans="1:25" x14ac:dyDescent="0.2">
      <c r="A157" s="14"/>
      <c r="B157" s="20"/>
      <c r="C157" s="20"/>
      <c r="D157" s="2" t="s">
        <v>137</v>
      </c>
      <c r="E157" s="14"/>
      <c r="F157" s="48"/>
      <c r="G157" s="48"/>
      <c r="H157" s="48"/>
      <c r="I157" s="48"/>
      <c r="J157" s="48"/>
      <c r="L157" s="258"/>
      <c r="M157" s="182"/>
      <c r="N157" s="258"/>
      <c r="O157" s="182"/>
      <c r="P157" s="88"/>
      <c r="U157" s="1">
        <f t="shared" si="96"/>
        <v>0</v>
      </c>
      <c r="W157" s="1">
        <f t="shared" si="97"/>
        <v>0</v>
      </c>
    </row>
    <row r="158" spans="1:25" x14ac:dyDescent="0.2">
      <c r="A158" s="205" t="s">
        <v>637</v>
      </c>
      <c r="C158" s="131"/>
      <c r="D158" s="8" t="s">
        <v>208</v>
      </c>
      <c r="E158" s="15" t="s">
        <v>193</v>
      </c>
      <c r="F158" s="34">
        <f>+M158</f>
        <v>340</v>
      </c>
      <c r="G158" s="35">
        <f>+O158</f>
        <v>257</v>
      </c>
      <c r="H158" s="23">
        <f t="shared" ref="H158:J166" si="105">$G158*(1-H$1)</f>
        <v>249.29</v>
      </c>
      <c r="I158" s="24">
        <f t="shared" si="105"/>
        <v>244.14999999999998</v>
      </c>
      <c r="J158" s="25">
        <f t="shared" si="105"/>
        <v>241.57999999999998</v>
      </c>
      <c r="L158" s="79">
        <v>309</v>
      </c>
      <c r="M158" s="99">
        <f t="shared" si="98"/>
        <v>340</v>
      </c>
      <c r="N158" s="79">
        <v>233</v>
      </c>
      <c r="O158" s="99">
        <f t="shared" si="99"/>
        <v>257</v>
      </c>
      <c r="P158" s="88"/>
      <c r="Q158" s="94" t="s">
        <v>335</v>
      </c>
      <c r="R158" s="95">
        <v>171.38</v>
      </c>
      <c r="S158" s="95"/>
      <c r="T158" s="95"/>
      <c r="U158" s="95">
        <f t="shared" si="96"/>
        <v>171.38</v>
      </c>
      <c r="V158" s="95"/>
      <c r="W158" s="95">
        <f t="shared" si="97"/>
        <v>171.38</v>
      </c>
      <c r="X158" s="95">
        <v>0.38700000000000001</v>
      </c>
      <c r="Y158" s="95">
        <v>0.32500000000000001</v>
      </c>
    </row>
    <row r="159" spans="1:25" x14ac:dyDescent="0.2">
      <c r="A159" s="212" t="s">
        <v>615</v>
      </c>
      <c r="C159" s="131"/>
      <c r="D159" s="6" t="s">
        <v>488</v>
      </c>
      <c r="E159" s="12" t="s">
        <v>188</v>
      </c>
      <c r="F159" s="34">
        <f>+M159</f>
        <v>17</v>
      </c>
      <c r="G159" s="35">
        <f>+O159</f>
        <v>13</v>
      </c>
      <c r="H159" s="23">
        <f t="shared" si="105"/>
        <v>12.61</v>
      </c>
      <c r="I159" s="24">
        <f t="shared" si="105"/>
        <v>12.35</v>
      </c>
      <c r="J159" s="25">
        <f t="shared" si="105"/>
        <v>12.219999999999999</v>
      </c>
      <c r="L159" s="79">
        <v>14</v>
      </c>
      <c r="M159" s="99">
        <f t="shared" si="98"/>
        <v>17</v>
      </c>
      <c r="N159" s="79">
        <v>11</v>
      </c>
      <c r="O159" s="99">
        <f t="shared" si="99"/>
        <v>13</v>
      </c>
      <c r="P159" s="88"/>
      <c r="Q159" s="94" t="s">
        <v>335</v>
      </c>
      <c r="R159" s="95">
        <v>6.98</v>
      </c>
      <c r="S159" s="95"/>
      <c r="T159" s="95"/>
      <c r="U159" s="95">
        <f t="shared" ref="U159" si="106">SUM(R159:T159)</f>
        <v>6.98</v>
      </c>
      <c r="V159" s="95"/>
      <c r="W159" s="95">
        <f t="shared" ref="W159" si="107">+U159*(1+V159)</f>
        <v>6.98</v>
      </c>
      <c r="X159" s="95">
        <v>0.69000000000000006</v>
      </c>
      <c r="Y159" s="95">
        <v>0.3</v>
      </c>
    </row>
    <row r="160" spans="1:25" x14ac:dyDescent="0.2">
      <c r="A160" s="212" t="s">
        <v>617</v>
      </c>
      <c r="C160" s="131"/>
      <c r="D160" s="6" t="s">
        <v>141</v>
      </c>
      <c r="E160" s="12" t="s">
        <v>194</v>
      </c>
      <c r="F160" s="34">
        <f t="shared" ref="F160:F167" si="108">+L160</f>
        <v>102</v>
      </c>
      <c r="G160" s="35">
        <f t="shared" ref="G160:G167" si="109">+N160</f>
        <v>70</v>
      </c>
      <c r="H160" s="23">
        <f t="shared" si="105"/>
        <v>67.899999999999991</v>
      </c>
      <c r="I160" s="24">
        <f t="shared" si="105"/>
        <v>66.5</v>
      </c>
      <c r="J160" s="25">
        <f t="shared" si="105"/>
        <v>65.8</v>
      </c>
      <c r="L160" s="99">
        <v>102</v>
      </c>
      <c r="M160" s="182">
        <f t="shared" si="98"/>
        <v>100</v>
      </c>
      <c r="N160" s="99">
        <v>70</v>
      </c>
      <c r="O160" s="182">
        <f t="shared" si="99"/>
        <v>69</v>
      </c>
      <c r="P160" s="88"/>
      <c r="Q160" s="94" t="s">
        <v>335</v>
      </c>
      <c r="R160" s="95">
        <v>43.5</v>
      </c>
      <c r="S160" s="95"/>
      <c r="T160" s="95"/>
      <c r="U160" s="95">
        <f t="shared" si="96"/>
        <v>43.5</v>
      </c>
      <c r="V160" s="95"/>
      <c r="W160" s="95">
        <f t="shared" si="97"/>
        <v>43.5</v>
      </c>
      <c r="X160" s="95">
        <v>0.46</v>
      </c>
      <c r="Y160" s="95">
        <v>0.46</v>
      </c>
    </row>
    <row r="161" spans="1:25" x14ac:dyDescent="0.2">
      <c r="A161" s="212" t="s">
        <v>618</v>
      </c>
      <c r="B161" s="61"/>
      <c r="C161" s="131"/>
      <c r="D161" s="6" t="s">
        <v>147</v>
      </c>
      <c r="E161" s="12" t="s">
        <v>188</v>
      </c>
      <c r="F161" s="34">
        <f>+M161</f>
        <v>9</v>
      </c>
      <c r="G161" s="35">
        <f>+O161</f>
        <v>7</v>
      </c>
      <c r="H161" s="23">
        <f t="shared" si="105"/>
        <v>6.79</v>
      </c>
      <c r="I161" s="24">
        <f t="shared" si="105"/>
        <v>6.6499999999999995</v>
      </c>
      <c r="J161" s="25">
        <f t="shared" si="105"/>
        <v>6.58</v>
      </c>
      <c r="L161" s="76">
        <v>9</v>
      </c>
      <c r="M161" s="99">
        <f t="shared" si="98"/>
        <v>9</v>
      </c>
      <c r="N161" s="76">
        <v>7</v>
      </c>
      <c r="O161" s="99">
        <f t="shared" si="99"/>
        <v>7</v>
      </c>
      <c r="P161" s="88"/>
      <c r="Q161" s="94" t="s">
        <v>805</v>
      </c>
      <c r="R161" s="95">
        <v>3.83</v>
      </c>
      <c r="S161" s="95"/>
      <c r="T161" s="95"/>
      <c r="U161" s="95">
        <f t="shared" si="96"/>
        <v>3.83</v>
      </c>
      <c r="V161" s="95"/>
      <c r="W161" s="95">
        <f t="shared" si="97"/>
        <v>3.83</v>
      </c>
      <c r="X161" s="95">
        <v>0.61</v>
      </c>
      <c r="Y161" s="95">
        <v>0.4</v>
      </c>
    </row>
    <row r="162" spans="1:25" x14ac:dyDescent="0.2">
      <c r="A162" s="212" t="s">
        <v>619</v>
      </c>
      <c r="C162" s="131"/>
      <c r="D162" s="6" t="s">
        <v>148</v>
      </c>
      <c r="E162" s="12" t="s">
        <v>188</v>
      </c>
      <c r="F162" s="34">
        <f>+M162</f>
        <v>18</v>
      </c>
      <c r="G162" s="35">
        <f>+O162</f>
        <v>13</v>
      </c>
      <c r="H162" s="23">
        <f t="shared" si="105"/>
        <v>12.61</v>
      </c>
      <c r="I162" s="24">
        <f t="shared" si="105"/>
        <v>12.35</v>
      </c>
      <c r="J162" s="25">
        <f t="shared" si="105"/>
        <v>12.219999999999999</v>
      </c>
      <c r="L162" s="76">
        <v>16</v>
      </c>
      <c r="M162" s="99">
        <f t="shared" si="98"/>
        <v>18</v>
      </c>
      <c r="N162" s="76">
        <v>12</v>
      </c>
      <c r="O162" s="99">
        <f t="shared" si="99"/>
        <v>13</v>
      </c>
      <c r="P162" s="88"/>
      <c r="Q162" s="94" t="s">
        <v>805</v>
      </c>
      <c r="R162" s="95">
        <v>7.33</v>
      </c>
      <c r="S162" s="95"/>
      <c r="T162" s="95"/>
      <c r="U162" s="95">
        <f t="shared" si="96"/>
        <v>7.33</v>
      </c>
      <c r="V162" s="95"/>
      <c r="W162" s="95">
        <f t="shared" si="97"/>
        <v>7.33</v>
      </c>
      <c r="X162" s="95">
        <v>0.61</v>
      </c>
      <c r="Y162" s="95">
        <v>0.4</v>
      </c>
    </row>
    <row r="163" spans="1:25" x14ac:dyDescent="0.2">
      <c r="A163" s="212" t="s">
        <v>620</v>
      </c>
      <c r="C163" s="131"/>
      <c r="D163" s="6" t="s">
        <v>149</v>
      </c>
      <c r="E163" s="12" t="s">
        <v>188</v>
      </c>
      <c r="F163" s="34">
        <f>+M163</f>
        <v>26</v>
      </c>
      <c r="G163" s="35">
        <f>+O163</f>
        <v>17</v>
      </c>
      <c r="H163" s="23">
        <f t="shared" si="105"/>
        <v>16.489999999999998</v>
      </c>
      <c r="I163" s="24">
        <f t="shared" si="105"/>
        <v>16.149999999999999</v>
      </c>
      <c r="J163" s="25">
        <f t="shared" si="105"/>
        <v>15.979999999999999</v>
      </c>
      <c r="L163" s="76">
        <v>25</v>
      </c>
      <c r="M163" s="99">
        <f t="shared" si="98"/>
        <v>26</v>
      </c>
      <c r="N163" s="76">
        <v>17</v>
      </c>
      <c r="O163" s="99">
        <f t="shared" si="99"/>
        <v>17</v>
      </c>
      <c r="P163" s="88"/>
      <c r="Q163" s="94" t="s">
        <v>335</v>
      </c>
      <c r="R163" s="95">
        <v>9.9499999999999993</v>
      </c>
      <c r="S163" s="95"/>
      <c r="T163" s="95"/>
      <c r="U163" s="95">
        <f t="shared" si="96"/>
        <v>9.9499999999999993</v>
      </c>
      <c r="V163" s="95"/>
      <c r="W163" s="95">
        <f t="shared" si="97"/>
        <v>9.9499999999999993</v>
      </c>
      <c r="X163" s="95">
        <v>0.61</v>
      </c>
      <c r="Y163" s="95">
        <v>0.5</v>
      </c>
    </row>
    <row r="164" spans="1:25" x14ac:dyDescent="0.2">
      <c r="A164" s="212"/>
      <c r="C164" s="131"/>
      <c r="D164" s="6" t="s">
        <v>788</v>
      </c>
      <c r="E164" s="12" t="s">
        <v>188</v>
      </c>
      <c r="F164" s="34">
        <f>+M164</f>
        <v>20</v>
      </c>
      <c r="G164" s="35">
        <f>+O164</f>
        <v>16</v>
      </c>
      <c r="H164" s="23">
        <f t="shared" si="105"/>
        <v>15.52</v>
      </c>
      <c r="I164" s="24">
        <f t="shared" si="105"/>
        <v>15.2</v>
      </c>
      <c r="J164" s="25">
        <f t="shared" si="105"/>
        <v>15.04</v>
      </c>
      <c r="L164" s="76">
        <v>16.260000000000002</v>
      </c>
      <c r="M164" s="99">
        <f>ROUND(+W164*(1+X164)*(1+Y164)*(1+$R$1),0)</f>
        <v>20</v>
      </c>
      <c r="N164" s="76">
        <v>13.55</v>
      </c>
      <c r="O164" s="99">
        <f t="shared" ref="O164" si="110">ROUND(+W164*(1+X164)*(1+$R$1),0)</f>
        <v>16</v>
      </c>
      <c r="P164" s="88"/>
      <c r="Q164" s="94" t="s">
        <v>816</v>
      </c>
      <c r="R164" s="95">
        <v>11.25</v>
      </c>
      <c r="S164" s="95"/>
      <c r="T164" s="95"/>
      <c r="U164" s="95">
        <f t="shared" ref="U164" si="111">SUM(R164:T164)</f>
        <v>11.25</v>
      </c>
      <c r="V164" s="95"/>
      <c r="W164" s="95">
        <f t="shared" ref="W164" si="112">+U164*(1+V164)</f>
        <v>11.25</v>
      </c>
      <c r="X164" s="95">
        <v>0.35</v>
      </c>
      <c r="Y164" s="95">
        <v>0.2</v>
      </c>
    </row>
    <row r="165" spans="1:25" x14ac:dyDescent="0.2">
      <c r="A165" s="208" t="s">
        <v>661</v>
      </c>
      <c r="C165" s="116"/>
      <c r="D165" s="6" t="s">
        <v>150</v>
      </c>
      <c r="E165" s="12" t="s">
        <v>188</v>
      </c>
      <c r="F165" s="34">
        <f t="shared" si="108"/>
        <v>173</v>
      </c>
      <c r="G165" s="35">
        <f t="shared" si="109"/>
        <v>118</v>
      </c>
      <c r="H165" s="23">
        <f t="shared" si="105"/>
        <v>114.46</v>
      </c>
      <c r="I165" s="24">
        <f t="shared" si="105"/>
        <v>112.1</v>
      </c>
      <c r="J165" s="25">
        <f t="shared" si="105"/>
        <v>110.91999999999999</v>
      </c>
      <c r="L165" s="99">
        <v>173</v>
      </c>
      <c r="M165" s="182">
        <f t="shared" si="98"/>
        <v>0</v>
      </c>
      <c r="N165" s="99">
        <v>118</v>
      </c>
      <c r="O165" s="182">
        <f t="shared" si="99"/>
        <v>0</v>
      </c>
      <c r="P165" s="88"/>
      <c r="Q165" s="94" t="s">
        <v>337</v>
      </c>
      <c r="R165" s="95"/>
      <c r="S165" s="95"/>
      <c r="T165" s="95"/>
      <c r="U165" s="95">
        <f t="shared" si="96"/>
        <v>0</v>
      </c>
      <c r="V165" s="95"/>
      <c r="W165" s="95">
        <f t="shared" si="97"/>
        <v>0</v>
      </c>
      <c r="X165" s="95">
        <v>0.29000000000000004</v>
      </c>
      <c r="Y165" s="95">
        <v>0.46</v>
      </c>
    </row>
    <row r="166" spans="1:25" x14ac:dyDescent="0.2">
      <c r="A166" s="210" t="s">
        <v>659</v>
      </c>
      <c r="C166" s="116"/>
      <c r="D166" s="6" t="s">
        <v>152</v>
      </c>
      <c r="E166" s="12" t="s">
        <v>188</v>
      </c>
      <c r="F166" s="34">
        <f t="shared" si="108"/>
        <v>242</v>
      </c>
      <c r="G166" s="35">
        <f t="shared" si="109"/>
        <v>174</v>
      </c>
      <c r="H166" s="23">
        <f t="shared" si="105"/>
        <v>168.78</v>
      </c>
      <c r="I166" s="24">
        <f t="shared" si="105"/>
        <v>165.29999999999998</v>
      </c>
      <c r="J166" s="25">
        <f t="shared" si="105"/>
        <v>163.56</v>
      </c>
      <c r="L166" s="99">
        <v>242</v>
      </c>
      <c r="M166" s="182">
        <f t="shared" si="98"/>
        <v>0</v>
      </c>
      <c r="N166" s="99">
        <v>174</v>
      </c>
      <c r="O166" s="182">
        <f t="shared" si="99"/>
        <v>0</v>
      </c>
      <c r="P166" s="88"/>
      <c r="Q166" s="94" t="s">
        <v>337</v>
      </c>
      <c r="R166" s="95"/>
      <c r="S166" s="95"/>
      <c r="T166" s="95"/>
      <c r="U166" s="95">
        <f t="shared" si="96"/>
        <v>0</v>
      </c>
      <c r="V166" s="95"/>
      <c r="W166" s="95">
        <f t="shared" si="97"/>
        <v>0</v>
      </c>
      <c r="X166" s="95">
        <v>0.35499999999999998</v>
      </c>
      <c r="Y166" s="95">
        <v>0.39</v>
      </c>
    </row>
    <row r="167" spans="1:25" x14ac:dyDescent="0.2">
      <c r="A167" s="210" t="s">
        <v>660</v>
      </c>
      <c r="C167" s="116"/>
      <c r="D167" s="6" t="s">
        <v>151</v>
      </c>
      <c r="E167" s="12" t="s">
        <v>188</v>
      </c>
      <c r="F167" s="34">
        <f t="shared" si="108"/>
        <v>218</v>
      </c>
      <c r="G167" s="35">
        <f t="shared" si="109"/>
        <v>151</v>
      </c>
      <c r="H167" s="23">
        <f t="shared" ref="H167:J171" si="113">$G167*(1-H$1)</f>
        <v>146.47</v>
      </c>
      <c r="I167" s="24">
        <f t="shared" si="113"/>
        <v>143.44999999999999</v>
      </c>
      <c r="J167" s="25">
        <f t="shared" si="113"/>
        <v>141.94</v>
      </c>
      <c r="L167" s="99">
        <v>218</v>
      </c>
      <c r="M167" s="182">
        <f t="shared" si="98"/>
        <v>0</v>
      </c>
      <c r="N167" s="99">
        <v>151</v>
      </c>
      <c r="O167" s="182">
        <f t="shared" si="99"/>
        <v>0</v>
      </c>
      <c r="P167" s="88"/>
      <c r="Q167" s="94" t="s">
        <v>337</v>
      </c>
      <c r="R167" s="95"/>
      <c r="S167" s="95"/>
      <c r="T167" s="95"/>
      <c r="U167" s="95">
        <f t="shared" si="96"/>
        <v>0</v>
      </c>
      <c r="V167" s="95"/>
      <c r="W167" s="95">
        <f t="shared" si="97"/>
        <v>0</v>
      </c>
      <c r="X167" s="95">
        <v>0.30499999999999999</v>
      </c>
      <c r="Y167" s="95">
        <v>0.45</v>
      </c>
    </row>
    <row r="168" spans="1:25" x14ac:dyDescent="0.2">
      <c r="A168" s="210" t="s">
        <v>624</v>
      </c>
      <c r="C168" s="131"/>
      <c r="D168" s="6" t="s">
        <v>201</v>
      </c>
      <c r="E168" s="12" t="s">
        <v>196</v>
      </c>
      <c r="F168" s="34">
        <f>+M168</f>
        <v>41.48</v>
      </c>
      <c r="G168" s="35">
        <f>+O168</f>
        <v>34.57</v>
      </c>
      <c r="H168" s="23">
        <f t="shared" si="113"/>
        <v>33.532899999999998</v>
      </c>
      <c r="I168" s="24">
        <f t="shared" si="113"/>
        <v>32.841499999999996</v>
      </c>
      <c r="J168" s="25">
        <f t="shared" si="113"/>
        <v>32.495799999999996</v>
      </c>
      <c r="L168" s="76">
        <v>38.61</v>
      </c>
      <c r="M168" s="99">
        <v>41.48</v>
      </c>
      <c r="N168" s="76">
        <v>32.18</v>
      </c>
      <c r="O168" s="99">
        <v>34.57</v>
      </c>
      <c r="P168" s="88"/>
      <c r="Q168" s="94" t="s">
        <v>336</v>
      </c>
      <c r="R168" s="95"/>
      <c r="S168" s="95"/>
      <c r="T168" s="95"/>
      <c r="U168" s="95">
        <f t="shared" si="96"/>
        <v>0</v>
      </c>
      <c r="V168" s="95"/>
      <c r="W168" s="95">
        <f t="shared" si="97"/>
        <v>0</v>
      </c>
      <c r="X168" s="95">
        <v>0.66</v>
      </c>
      <c r="Y168" s="95">
        <v>0.40500000000000003</v>
      </c>
    </row>
    <row r="169" spans="1:25" x14ac:dyDescent="0.2">
      <c r="A169" s="207" t="s">
        <v>623</v>
      </c>
      <c r="B169" s="61"/>
      <c r="C169" s="131"/>
      <c r="D169" s="6" t="s">
        <v>202</v>
      </c>
      <c r="E169" s="12" t="s">
        <v>196</v>
      </c>
      <c r="F169" s="34">
        <f t="shared" ref="F169:F171" si="114">+M169</f>
        <v>59.32</v>
      </c>
      <c r="G169" s="35">
        <f t="shared" ref="G169:G171" si="115">+O169</f>
        <v>49.43</v>
      </c>
      <c r="H169" s="23">
        <f t="shared" si="113"/>
        <v>47.947099999999999</v>
      </c>
      <c r="I169" s="24">
        <f t="shared" si="113"/>
        <v>46.958500000000001</v>
      </c>
      <c r="J169" s="25">
        <f t="shared" si="113"/>
        <v>46.464199999999998</v>
      </c>
      <c r="L169" s="76">
        <v>55.14</v>
      </c>
      <c r="M169" s="99">
        <v>59.32</v>
      </c>
      <c r="N169" s="76">
        <v>45.95</v>
      </c>
      <c r="O169" s="99">
        <v>49.43</v>
      </c>
      <c r="P169" s="88"/>
      <c r="Q169" s="94" t="s">
        <v>336</v>
      </c>
      <c r="R169" s="95"/>
      <c r="S169" s="95"/>
      <c r="T169" s="95"/>
      <c r="U169" s="95">
        <f t="shared" si="96"/>
        <v>0</v>
      </c>
      <c r="V169" s="95"/>
      <c r="W169" s="95">
        <f t="shared" si="97"/>
        <v>0</v>
      </c>
      <c r="X169" s="95">
        <v>0.71</v>
      </c>
      <c r="Y169" s="95">
        <v>0.39</v>
      </c>
    </row>
    <row r="170" spans="1:25" x14ac:dyDescent="0.2">
      <c r="A170" s="210" t="s">
        <v>622</v>
      </c>
      <c r="C170" s="131"/>
      <c r="D170" s="6" t="s">
        <v>203</v>
      </c>
      <c r="E170" s="12" t="s">
        <v>196</v>
      </c>
      <c r="F170" s="34">
        <f t="shared" si="114"/>
        <v>75.89</v>
      </c>
      <c r="G170" s="35">
        <f t="shared" si="115"/>
        <v>63.24</v>
      </c>
      <c r="H170" s="23">
        <f t="shared" si="113"/>
        <v>61.342799999999997</v>
      </c>
      <c r="I170" s="24">
        <f t="shared" si="113"/>
        <v>60.077999999999996</v>
      </c>
      <c r="J170" s="25">
        <f t="shared" si="113"/>
        <v>59.445599999999999</v>
      </c>
      <c r="L170" s="76">
        <v>69.64</v>
      </c>
      <c r="M170" s="99">
        <v>75.89</v>
      </c>
      <c r="N170" s="76">
        <v>58.04</v>
      </c>
      <c r="O170" s="99">
        <v>63.24</v>
      </c>
      <c r="P170" s="88"/>
      <c r="Q170" s="94" t="s">
        <v>336</v>
      </c>
      <c r="R170" s="95"/>
      <c r="S170" s="95"/>
      <c r="T170" s="95"/>
      <c r="U170" s="95">
        <f t="shared" si="96"/>
        <v>0</v>
      </c>
      <c r="V170" s="95"/>
      <c r="W170" s="95">
        <f t="shared" si="97"/>
        <v>0</v>
      </c>
      <c r="X170" s="95">
        <v>0.71</v>
      </c>
      <c r="Y170" s="95">
        <v>0.435</v>
      </c>
    </row>
    <row r="171" spans="1:25" x14ac:dyDescent="0.2">
      <c r="A171" s="210" t="s">
        <v>621</v>
      </c>
      <c r="C171" s="131"/>
      <c r="D171" s="6" t="s">
        <v>204</v>
      </c>
      <c r="E171" s="12" t="s">
        <v>196</v>
      </c>
      <c r="F171" s="34">
        <f t="shared" si="114"/>
        <v>32.93</v>
      </c>
      <c r="G171" s="35">
        <f t="shared" si="115"/>
        <v>27.44</v>
      </c>
      <c r="H171" s="23">
        <f t="shared" si="113"/>
        <v>26.616800000000001</v>
      </c>
      <c r="I171" s="24">
        <f t="shared" si="113"/>
        <v>26.068000000000001</v>
      </c>
      <c r="J171" s="25">
        <f t="shared" si="113"/>
        <v>25.793600000000001</v>
      </c>
      <c r="L171" s="76">
        <v>31.95</v>
      </c>
      <c r="M171" s="99">
        <v>32.93</v>
      </c>
      <c r="N171" s="76">
        <v>26.62</v>
      </c>
      <c r="O171" s="99">
        <v>27.44</v>
      </c>
      <c r="P171" s="88"/>
      <c r="Q171" s="94" t="s">
        <v>336</v>
      </c>
      <c r="R171" s="95"/>
      <c r="S171" s="95"/>
      <c r="T171" s="95"/>
      <c r="U171" s="95">
        <f t="shared" si="96"/>
        <v>0</v>
      </c>
      <c r="V171" s="95"/>
      <c r="W171" s="95">
        <f t="shared" si="97"/>
        <v>0</v>
      </c>
      <c r="X171" s="95">
        <v>0.31</v>
      </c>
      <c r="Y171" s="95">
        <v>0.2</v>
      </c>
    </row>
    <row r="172" spans="1:25" x14ac:dyDescent="0.2">
      <c r="A172" s="14"/>
      <c r="B172" s="20"/>
      <c r="C172" s="20"/>
      <c r="D172" s="2" t="s">
        <v>229</v>
      </c>
      <c r="E172" s="14"/>
      <c r="F172" s="48"/>
      <c r="G172" s="48"/>
      <c r="H172" s="48"/>
      <c r="I172" s="48"/>
      <c r="J172" s="48"/>
      <c r="L172" s="258"/>
      <c r="M172" s="182"/>
      <c r="N172" s="258"/>
      <c r="O172" s="182"/>
      <c r="P172" s="88"/>
      <c r="U172" s="1">
        <f t="shared" si="96"/>
        <v>0</v>
      </c>
      <c r="W172" s="1">
        <f t="shared" si="97"/>
        <v>0</v>
      </c>
    </row>
    <row r="173" spans="1:25" x14ac:dyDescent="0.2">
      <c r="A173" s="207" t="s">
        <v>647</v>
      </c>
      <c r="B173" s="61"/>
      <c r="C173" s="118"/>
      <c r="D173" s="6" t="s">
        <v>155</v>
      </c>
      <c r="E173" s="12" t="s">
        <v>188</v>
      </c>
      <c r="F173" s="34">
        <f t="shared" ref="F173:F181" si="116">+L173</f>
        <v>102.95</v>
      </c>
      <c r="G173" s="35">
        <f t="shared" ref="G173:G181" si="117">+N173</f>
        <v>66.14</v>
      </c>
      <c r="H173" s="23">
        <f t="shared" ref="H173:J184" si="118">$G173*(1-H$1)</f>
        <v>64.155799999999999</v>
      </c>
      <c r="I173" s="24">
        <f t="shared" si="118"/>
        <v>62.832999999999998</v>
      </c>
      <c r="J173" s="25">
        <f t="shared" si="118"/>
        <v>62.171599999999998</v>
      </c>
      <c r="L173" s="99">
        <v>102.95</v>
      </c>
      <c r="M173" s="182">
        <v>102.95</v>
      </c>
      <c r="N173" s="99">
        <v>66.14</v>
      </c>
      <c r="O173" s="182">
        <v>66.14</v>
      </c>
      <c r="P173" s="88"/>
      <c r="Q173" s="94" t="s">
        <v>300</v>
      </c>
      <c r="R173" s="95"/>
      <c r="S173" s="95"/>
      <c r="T173" s="95"/>
      <c r="U173" s="95">
        <f t="shared" si="96"/>
        <v>0</v>
      </c>
      <c r="V173" s="95"/>
      <c r="W173" s="95">
        <f t="shared" si="97"/>
        <v>0</v>
      </c>
      <c r="X173" s="95">
        <v>0.31</v>
      </c>
      <c r="Y173" s="95">
        <v>0.6</v>
      </c>
    </row>
    <row r="174" spans="1:25" x14ac:dyDescent="0.2">
      <c r="A174" s="210" t="s">
        <v>646</v>
      </c>
      <c r="C174" s="116"/>
      <c r="D174" s="6" t="s">
        <v>156</v>
      </c>
      <c r="E174" s="12" t="s">
        <v>188</v>
      </c>
      <c r="F174" s="34">
        <f t="shared" si="116"/>
        <v>19.3</v>
      </c>
      <c r="G174" s="35">
        <f t="shared" si="117"/>
        <v>12.4</v>
      </c>
      <c r="H174" s="23">
        <f t="shared" si="118"/>
        <v>12.028</v>
      </c>
      <c r="I174" s="24">
        <f t="shared" si="118"/>
        <v>11.78</v>
      </c>
      <c r="J174" s="25">
        <f t="shared" si="118"/>
        <v>11.655999999999999</v>
      </c>
      <c r="L174" s="99">
        <v>19.3</v>
      </c>
      <c r="M174" s="182">
        <v>19.3</v>
      </c>
      <c r="N174" s="99">
        <v>12.4</v>
      </c>
      <c r="O174" s="182">
        <v>12.4</v>
      </c>
      <c r="P174" s="88"/>
      <c r="Q174" s="94" t="s">
        <v>300</v>
      </c>
      <c r="R174" s="95"/>
      <c r="S174" s="95"/>
      <c r="T174" s="95"/>
      <c r="U174" s="95">
        <f t="shared" si="96"/>
        <v>0</v>
      </c>
      <c r="V174" s="95"/>
      <c r="W174" s="95">
        <f t="shared" si="97"/>
        <v>0</v>
      </c>
      <c r="X174" s="95">
        <v>0.31</v>
      </c>
      <c r="Y174" s="95">
        <v>0.5</v>
      </c>
    </row>
    <row r="175" spans="1:25" x14ac:dyDescent="0.2">
      <c r="A175" s="210" t="s">
        <v>649</v>
      </c>
      <c r="C175" s="116"/>
      <c r="D175" s="6" t="s">
        <v>157</v>
      </c>
      <c r="E175" s="12" t="s">
        <v>188</v>
      </c>
      <c r="F175" s="34">
        <f t="shared" si="116"/>
        <v>118.4</v>
      </c>
      <c r="G175" s="35">
        <f t="shared" si="117"/>
        <v>76.06</v>
      </c>
      <c r="H175" s="23">
        <f t="shared" si="118"/>
        <v>73.778199999999998</v>
      </c>
      <c r="I175" s="24">
        <f t="shared" si="118"/>
        <v>72.257000000000005</v>
      </c>
      <c r="J175" s="25">
        <f t="shared" si="118"/>
        <v>71.496399999999994</v>
      </c>
      <c r="L175" s="99">
        <v>118.4</v>
      </c>
      <c r="M175" s="182">
        <v>118.4</v>
      </c>
      <c r="N175" s="99">
        <v>76.06</v>
      </c>
      <c r="O175" s="182">
        <v>76.06</v>
      </c>
      <c r="P175" s="88"/>
      <c r="Q175" s="94" t="s">
        <v>300</v>
      </c>
      <c r="R175" s="95"/>
      <c r="S175" s="95"/>
      <c r="T175" s="95"/>
      <c r="U175" s="95">
        <f t="shared" si="96"/>
        <v>0</v>
      </c>
      <c r="V175" s="95"/>
      <c r="W175" s="95">
        <f t="shared" si="97"/>
        <v>0</v>
      </c>
      <c r="X175" s="95">
        <v>0.31</v>
      </c>
      <c r="Y175" s="95">
        <v>0.6</v>
      </c>
    </row>
    <row r="176" spans="1:25" x14ac:dyDescent="0.2">
      <c r="A176" s="210" t="s">
        <v>648</v>
      </c>
      <c r="C176" s="116"/>
      <c r="D176" s="6" t="s">
        <v>158</v>
      </c>
      <c r="E176" s="12" t="s">
        <v>188</v>
      </c>
      <c r="F176" s="34">
        <f t="shared" si="116"/>
        <v>86.25</v>
      </c>
      <c r="G176" s="35">
        <f t="shared" si="117"/>
        <v>55.41</v>
      </c>
      <c r="H176" s="23">
        <f t="shared" si="118"/>
        <v>53.747699999999995</v>
      </c>
      <c r="I176" s="24">
        <f t="shared" si="118"/>
        <v>52.639499999999991</v>
      </c>
      <c r="J176" s="25">
        <f t="shared" si="118"/>
        <v>52.085399999999993</v>
      </c>
      <c r="L176" s="99">
        <v>86.25</v>
      </c>
      <c r="M176" s="182">
        <v>86.25</v>
      </c>
      <c r="N176" s="99">
        <v>55.41</v>
      </c>
      <c r="O176" s="182">
        <v>55.41</v>
      </c>
      <c r="P176" s="88"/>
      <c r="Q176" s="94" t="s">
        <v>300</v>
      </c>
      <c r="R176" s="95"/>
      <c r="S176" s="95"/>
      <c r="T176" s="95"/>
      <c r="U176" s="95">
        <f t="shared" si="96"/>
        <v>0</v>
      </c>
      <c r="V176" s="95"/>
      <c r="W176" s="95">
        <f t="shared" si="97"/>
        <v>0</v>
      </c>
      <c r="X176" s="95">
        <v>0.31</v>
      </c>
      <c r="Y176" s="95">
        <v>0.6</v>
      </c>
    </row>
    <row r="177" spans="1:25" x14ac:dyDescent="0.2">
      <c r="A177" s="210" t="s">
        <v>650</v>
      </c>
      <c r="C177" s="116"/>
      <c r="D177" s="6" t="s">
        <v>159</v>
      </c>
      <c r="E177" s="12" t="s">
        <v>188</v>
      </c>
      <c r="F177" s="34">
        <f t="shared" si="116"/>
        <v>57.95</v>
      </c>
      <c r="G177" s="35">
        <f t="shared" si="117"/>
        <v>37.229999999999997</v>
      </c>
      <c r="H177" s="23">
        <f t="shared" si="118"/>
        <v>36.113099999999996</v>
      </c>
      <c r="I177" s="24">
        <f t="shared" si="118"/>
        <v>35.368499999999997</v>
      </c>
      <c r="J177" s="25">
        <f t="shared" si="118"/>
        <v>34.996199999999995</v>
      </c>
      <c r="L177" s="99">
        <v>57.95</v>
      </c>
      <c r="M177" s="182">
        <v>57.95</v>
      </c>
      <c r="N177" s="99">
        <v>37.229999999999997</v>
      </c>
      <c r="O177" s="182">
        <v>37.229999999999997</v>
      </c>
      <c r="P177" s="88"/>
      <c r="Q177" s="94" t="s">
        <v>300</v>
      </c>
      <c r="R177" s="95"/>
      <c r="S177" s="95"/>
      <c r="T177" s="95"/>
      <c r="U177" s="95">
        <f t="shared" si="96"/>
        <v>0</v>
      </c>
      <c r="V177" s="95"/>
      <c r="W177" s="95">
        <f t="shared" si="97"/>
        <v>0</v>
      </c>
      <c r="X177" s="95">
        <v>0.31</v>
      </c>
      <c r="Y177" s="95">
        <v>0.6</v>
      </c>
    </row>
    <row r="178" spans="1:25" x14ac:dyDescent="0.2">
      <c r="A178" s="210" t="s">
        <v>651</v>
      </c>
      <c r="C178" s="116"/>
      <c r="D178" s="6" t="s">
        <v>160</v>
      </c>
      <c r="E178" s="12" t="s">
        <v>188</v>
      </c>
      <c r="F178" s="34">
        <f t="shared" si="116"/>
        <v>91.9</v>
      </c>
      <c r="G178" s="35">
        <f t="shared" si="117"/>
        <v>59.04</v>
      </c>
      <c r="H178" s="23">
        <f t="shared" si="118"/>
        <v>57.268799999999999</v>
      </c>
      <c r="I178" s="24">
        <f t="shared" si="118"/>
        <v>56.087999999999994</v>
      </c>
      <c r="J178" s="25">
        <f t="shared" si="118"/>
        <v>55.497599999999998</v>
      </c>
      <c r="L178" s="99">
        <v>91.9</v>
      </c>
      <c r="M178" s="182">
        <v>91.9</v>
      </c>
      <c r="N178" s="99">
        <v>59.04</v>
      </c>
      <c r="O178" s="182">
        <v>59.04</v>
      </c>
      <c r="P178" s="88"/>
      <c r="Q178" s="94" t="s">
        <v>300</v>
      </c>
      <c r="R178" s="95"/>
      <c r="S178" s="95"/>
      <c r="T178" s="95"/>
      <c r="U178" s="95">
        <f t="shared" si="96"/>
        <v>0</v>
      </c>
      <c r="V178" s="95"/>
      <c r="W178" s="95">
        <f t="shared" si="97"/>
        <v>0</v>
      </c>
      <c r="X178" s="95">
        <v>0.31</v>
      </c>
      <c r="Y178" s="95">
        <v>0.6</v>
      </c>
    </row>
    <row r="179" spans="1:25" x14ac:dyDescent="0.2">
      <c r="A179" s="207" t="s">
        <v>652</v>
      </c>
      <c r="C179" s="118"/>
      <c r="D179" s="8" t="s">
        <v>161</v>
      </c>
      <c r="E179" s="15" t="s">
        <v>188</v>
      </c>
      <c r="F179" s="34">
        <f t="shared" si="116"/>
        <v>52</v>
      </c>
      <c r="G179" s="35">
        <f t="shared" si="117"/>
        <v>33.409999999999997</v>
      </c>
      <c r="H179" s="23">
        <f t="shared" si="118"/>
        <v>32.407699999999998</v>
      </c>
      <c r="I179" s="24">
        <f t="shared" si="118"/>
        <v>31.739499999999996</v>
      </c>
      <c r="J179" s="25">
        <f t="shared" si="118"/>
        <v>31.405399999999997</v>
      </c>
      <c r="L179" s="101">
        <v>52</v>
      </c>
      <c r="M179" s="182">
        <v>52</v>
      </c>
      <c r="N179" s="101">
        <v>33.409999999999997</v>
      </c>
      <c r="O179" s="182">
        <v>33.409999999999997</v>
      </c>
      <c r="P179" s="88"/>
      <c r="Q179" s="94" t="s">
        <v>300</v>
      </c>
      <c r="R179" s="95"/>
      <c r="S179" s="95"/>
      <c r="T179" s="95"/>
      <c r="U179" s="95">
        <f t="shared" si="96"/>
        <v>0</v>
      </c>
      <c r="V179" s="95"/>
      <c r="W179" s="95">
        <f t="shared" si="97"/>
        <v>0</v>
      </c>
      <c r="X179" s="95">
        <v>0.31</v>
      </c>
      <c r="Y179" s="95">
        <v>0.6</v>
      </c>
    </row>
    <row r="180" spans="1:25" x14ac:dyDescent="0.2">
      <c r="A180" s="207" t="s">
        <v>644</v>
      </c>
      <c r="C180" s="131"/>
      <c r="D180" s="8" t="s">
        <v>486</v>
      </c>
      <c r="E180" s="15" t="s">
        <v>188</v>
      </c>
      <c r="F180" s="34">
        <f>+M180</f>
        <v>404.01</v>
      </c>
      <c r="G180" s="35">
        <f>+O180</f>
        <v>278.63</v>
      </c>
      <c r="H180" s="23">
        <f t="shared" si="118"/>
        <v>270.27109999999999</v>
      </c>
      <c r="I180" s="24">
        <f t="shared" si="118"/>
        <v>264.69849999999997</v>
      </c>
      <c r="J180" s="25">
        <f t="shared" si="118"/>
        <v>261.91219999999998</v>
      </c>
      <c r="L180" s="76">
        <v>417.94</v>
      </c>
      <c r="M180" s="99">
        <v>404.01</v>
      </c>
      <c r="N180" s="76">
        <v>292.56</v>
      </c>
      <c r="O180" s="99">
        <v>278.63</v>
      </c>
      <c r="P180" s="88"/>
      <c r="Q180" s="94" t="s">
        <v>482</v>
      </c>
      <c r="R180" s="95"/>
      <c r="S180" s="95"/>
      <c r="T180" s="95"/>
      <c r="U180" s="95">
        <f t="shared" si="96"/>
        <v>0</v>
      </c>
      <c r="V180" s="95"/>
      <c r="W180" s="95">
        <f t="shared" si="97"/>
        <v>0</v>
      </c>
      <c r="X180" s="95">
        <v>0.31</v>
      </c>
      <c r="Y180" s="95">
        <v>0.4</v>
      </c>
    </row>
    <row r="181" spans="1:25" x14ac:dyDescent="0.2">
      <c r="A181" s="210" t="s">
        <v>643</v>
      </c>
      <c r="C181" s="131"/>
      <c r="D181" s="6" t="s">
        <v>484</v>
      </c>
      <c r="E181" s="12" t="s">
        <v>188</v>
      </c>
      <c r="F181" s="34">
        <f t="shared" si="116"/>
        <v>386.44</v>
      </c>
      <c r="G181" s="35">
        <f t="shared" si="117"/>
        <v>270.51</v>
      </c>
      <c r="H181" s="23">
        <f t="shared" si="118"/>
        <v>262.3947</v>
      </c>
      <c r="I181" s="24">
        <f t="shared" si="118"/>
        <v>256.98449999999997</v>
      </c>
      <c r="J181" s="25">
        <f t="shared" si="118"/>
        <v>254.27939999999998</v>
      </c>
      <c r="L181" s="99">
        <v>386.44</v>
      </c>
      <c r="M181" s="182">
        <v>386.44</v>
      </c>
      <c r="N181" s="99">
        <v>270.51</v>
      </c>
      <c r="O181" s="182">
        <v>270.51</v>
      </c>
      <c r="P181" s="88"/>
      <c r="Q181" s="94" t="s">
        <v>482</v>
      </c>
      <c r="R181" s="95"/>
      <c r="S181" s="95"/>
      <c r="T181" s="95"/>
      <c r="U181" s="95">
        <f t="shared" si="96"/>
        <v>0</v>
      </c>
      <c r="V181" s="95"/>
      <c r="W181" s="95">
        <f t="shared" si="97"/>
        <v>0</v>
      </c>
      <c r="X181" s="95">
        <v>0.31</v>
      </c>
      <c r="Y181" s="95">
        <v>0.6</v>
      </c>
    </row>
    <row r="182" spans="1:25" x14ac:dyDescent="0.2">
      <c r="A182" s="213" t="s">
        <v>776</v>
      </c>
      <c r="B182" s="60"/>
      <c r="C182" s="131"/>
      <c r="D182" s="7" t="s">
        <v>485</v>
      </c>
      <c r="E182" s="12" t="s">
        <v>188</v>
      </c>
      <c r="F182" s="34">
        <f>+M182</f>
        <v>116.36</v>
      </c>
      <c r="G182" s="35">
        <f>+O182</f>
        <v>80.25</v>
      </c>
      <c r="H182" s="23">
        <f t="shared" si="118"/>
        <v>77.842500000000001</v>
      </c>
      <c r="I182" s="24">
        <f t="shared" si="118"/>
        <v>76.237499999999997</v>
      </c>
      <c r="J182" s="25">
        <f t="shared" si="118"/>
        <v>75.435000000000002</v>
      </c>
      <c r="L182" s="76">
        <v>120.38</v>
      </c>
      <c r="M182" s="99">
        <v>116.36</v>
      </c>
      <c r="N182" s="76">
        <v>84.26</v>
      </c>
      <c r="O182" s="99">
        <v>80.25</v>
      </c>
      <c r="P182" s="88"/>
      <c r="Q182" s="94" t="s">
        <v>482</v>
      </c>
      <c r="R182" s="95"/>
      <c r="S182" s="95"/>
      <c r="T182" s="95"/>
      <c r="U182" s="95">
        <f t="shared" si="96"/>
        <v>0</v>
      </c>
      <c r="V182" s="95"/>
      <c r="W182" s="95">
        <f t="shared" si="97"/>
        <v>0</v>
      </c>
      <c r="X182" s="95">
        <v>0.31</v>
      </c>
      <c r="Y182" s="95">
        <v>0.6</v>
      </c>
    </row>
    <row r="183" spans="1:25" x14ac:dyDescent="0.2">
      <c r="A183" s="57" t="s">
        <v>645</v>
      </c>
      <c r="C183" s="131"/>
      <c r="D183" s="69" t="s">
        <v>230</v>
      </c>
      <c r="E183" s="212" t="s">
        <v>188</v>
      </c>
      <c r="F183" s="34">
        <f>+M183</f>
        <v>52.2</v>
      </c>
      <c r="G183" s="35">
        <f>+O183</f>
        <v>36</v>
      </c>
      <c r="H183" s="23">
        <f t="shared" si="118"/>
        <v>34.92</v>
      </c>
      <c r="I183" s="24">
        <f t="shared" si="118"/>
        <v>34.199999999999996</v>
      </c>
      <c r="J183" s="25">
        <f t="shared" si="118"/>
        <v>33.839999999999996</v>
      </c>
      <c r="L183" s="76">
        <v>65.211999999999989</v>
      </c>
      <c r="M183" s="99">
        <v>52.2</v>
      </c>
      <c r="N183" s="76">
        <v>46.58</v>
      </c>
      <c r="O183" s="99">
        <v>36</v>
      </c>
      <c r="P183" s="88"/>
      <c r="Q183" s="94" t="s">
        <v>482</v>
      </c>
      <c r="R183" s="95"/>
      <c r="S183" s="95"/>
      <c r="T183" s="95"/>
      <c r="U183" s="95">
        <f t="shared" si="96"/>
        <v>0</v>
      </c>
      <c r="V183" s="95"/>
      <c r="W183" s="95">
        <f t="shared" si="97"/>
        <v>0</v>
      </c>
      <c r="X183" s="95"/>
      <c r="Y183" s="95"/>
    </row>
    <row r="184" spans="1:25" x14ac:dyDescent="0.2">
      <c r="A184" s="57" t="s">
        <v>699</v>
      </c>
      <c r="C184" s="131"/>
      <c r="D184" s="69" t="s">
        <v>769</v>
      </c>
      <c r="E184" s="234" t="s">
        <v>188</v>
      </c>
      <c r="F184" s="34">
        <f>+M184</f>
        <v>31.54</v>
      </c>
      <c r="G184" s="35">
        <f>+O184</f>
        <v>21.75</v>
      </c>
      <c r="H184" s="23">
        <f t="shared" si="118"/>
        <v>21.0975</v>
      </c>
      <c r="I184" s="24">
        <f t="shared" si="118"/>
        <v>20.662499999999998</v>
      </c>
      <c r="J184" s="25">
        <f t="shared" si="118"/>
        <v>20.445</v>
      </c>
      <c r="L184" s="76">
        <v>32.630000000000003</v>
      </c>
      <c r="M184" s="99">
        <f>63.08/2</f>
        <v>31.54</v>
      </c>
      <c r="N184" s="76">
        <v>22.84</v>
      </c>
      <c r="O184" s="99">
        <f>43.5/2</f>
        <v>21.75</v>
      </c>
      <c r="P184" s="88"/>
      <c r="Q184" s="3" t="s">
        <v>482</v>
      </c>
    </row>
    <row r="185" spans="1:25" x14ac:dyDescent="0.2">
      <c r="A185" s="14"/>
      <c r="B185" s="20"/>
      <c r="C185" s="20"/>
      <c r="D185" s="2" t="s">
        <v>424</v>
      </c>
      <c r="E185" s="14"/>
      <c r="F185" s="48"/>
      <c r="G185" s="48"/>
      <c r="H185" s="48"/>
      <c r="I185" s="48"/>
      <c r="J185" s="48"/>
      <c r="L185" s="258"/>
      <c r="M185" s="182"/>
      <c r="N185" s="258"/>
      <c r="O185" s="182"/>
      <c r="P185" s="88"/>
      <c r="U185" s="1">
        <f t="shared" si="96"/>
        <v>0</v>
      </c>
      <c r="W185" s="1">
        <f t="shared" si="97"/>
        <v>0</v>
      </c>
    </row>
    <row r="186" spans="1:25" x14ac:dyDescent="0.2">
      <c r="A186" s="204" t="s">
        <v>653</v>
      </c>
      <c r="B186" s="202"/>
      <c r="C186" s="203"/>
      <c r="D186" s="7" t="s">
        <v>252</v>
      </c>
      <c r="E186" s="13" t="s">
        <v>188</v>
      </c>
      <c r="F186" s="34">
        <f t="shared" ref="F186:F189" si="119">+L186</f>
        <v>33</v>
      </c>
      <c r="G186" s="35">
        <f t="shared" ref="G186:G189" si="120">+N186</f>
        <v>26</v>
      </c>
      <c r="H186" s="23">
        <f t="shared" ref="H186:J190" si="121">$G186*(1-H$1)</f>
        <v>25.22</v>
      </c>
      <c r="I186" s="24">
        <f t="shared" si="121"/>
        <v>24.7</v>
      </c>
      <c r="J186" s="25">
        <f t="shared" si="121"/>
        <v>24.439999999999998</v>
      </c>
      <c r="L186" s="99">
        <v>33</v>
      </c>
      <c r="M186" s="182">
        <f t="shared" si="98"/>
        <v>27</v>
      </c>
      <c r="N186" s="99">
        <v>26</v>
      </c>
      <c r="O186" s="182">
        <f t="shared" si="99"/>
        <v>21</v>
      </c>
      <c r="P186" s="88"/>
      <c r="Q186" s="94" t="s">
        <v>807</v>
      </c>
      <c r="R186" s="95">
        <v>13.1</v>
      </c>
      <c r="S186" s="95">
        <v>0.95</v>
      </c>
      <c r="T186" s="95"/>
      <c r="U186" s="95">
        <f t="shared" si="96"/>
        <v>14.049999999999999</v>
      </c>
      <c r="V186" s="95"/>
      <c r="W186" s="95">
        <f t="shared" si="97"/>
        <v>14.049999999999999</v>
      </c>
      <c r="X186" s="95">
        <v>0.41</v>
      </c>
      <c r="Y186" s="95">
        <v>0.28000000000000003</v>
      </c>
    </row>
    <row r="187" spans="1:25" x14ac:dyDescent="0.2">
      <c r="A187" s="212" t="s">
        <v>657</v>
      </c>
      <c r="B187" s="16"/>
      <c r="C187" s="70"/>
      <c r="D187" s="6" t="s">
        <v>353</v>
      </c>
      <c r="E187" s="12" t="s">
        <v>188</v>
      </c>
      <c r="F187" s="34">
        <f t="shared" si="119"/>
        <v>1</v>
      </c>
      <c r="G187" s="35">
        <f t="shared" si="120"/>
        <v>1</v>
      </c>
      <c r="H187" s="23">
        <f t="shared" si="121"/>
        <v>0.97</v>
      </c>
      <c r="I187" s="24">
        <f t="shared" si="121"/>
        <v>0.95</v>
      </c>
      <c r="J187" s="25">
        <f t="shared" si="121"/>
        <v>0.94</v>
      </c>
      <c r="L187" s="101">
        <v>1</v>
      </c>
      <c r="M187" s="182">
        <f t="shared" si="98"/>
        <v>1</v>
      </c>
      <c r="N187" s="101">
        <v>1</v>
      </c>
      <c r="O187" s="182">
        <f t="shared" si="99"/>
        <v>1</v>
      </c>
      <c r="P187" s="88"/>
      <c r="Q187" s="94" t="s">
        <v>807</v>
      </c>
      <c r="R187" s="95">
        <v>0.73</v>
      </c>
      <c r="S187" s="95"/>
      <c r="T187" s="95"/>
      <c r="U187" s="95">
        <f t="shared" si="96"/>
        <v>0.73</v>
      </c>
      <c r="V187" s="95"/>
      <c r="W187" s="95">
        <f t="shared" si="97"/>
        <v>0.73</v>
      </c>
      <c r="X187" s="95">
        <v>0.5</v>
      </c>
      <c r="Y187" s="95">
        <v>0.2</v>
      </c>
    </row>
    <row r="188" spans="1:25" x14ac:dyDescent="0.2">
      <c r="A188" s="212" t="s">
        <v>655</v>
      </c>
      <c r="B188" s="16"/>
      <c r="C188" s="70"/>
      <c r="D188" s="6" t="s">
        <v>767</v>
      </c>
      <c r="E188" s="12" t="s">
        <v>188</v>
      </c>
      <c r="F188" s="34">
        <f>+M188</f>
        <v>4</v>
      </c>
      <c r="G188" s="35">
        <f>+O188</f>
        <v>4</v>
      </c>
      <c r="H188" s="23">
        <f t="shared" si="121"/>
        <v>3.88</v>
      </c>
      <c r="I188" s="24">
        <f t="shared" si="121"/>
        <v>3.8</v>
      </c>
      <c r="J188" s="25">
        <f t="shared" si="121"/>
        <v>3.76</v>
      </c>
      <c r="L188" s="76">
        <v>4.5999999999999996</v>
      </c>
      <c r="M188" s="99">
        <f t="shared" si="98"/>
        <v>4</v>
      </c>
      <c r="N188" s="76">
        <v>4</v>
      </c>
      <c r="O188" s="99">
        <f t="shared" si="99"/>
        <v>4</v>
      </c>
      <c r="P188" s="88"/>
      <c r="Q188" s="94" t="s">
        <v>807</v>
      </c>
      <c r="R188" s="95">
        <v>2.65</v>
      </c>
      <c r="S188" s="95"/>
      <c r="T188" s="95"/>
      <c r="U188" s="95">
        <f t="shared" si="96"/>
        <v>2.65</v>
      </c>
      <c r="V188" s="95"/>
      <c r="W188" s="95">
        <f t="shared" si="97"/>
        <v>2.65</v>
      </c>
      <c r="X188" s="95">
        <v>0.24</v>
      </c>
      <c r="Y188" s="95">
        <v>0.1</v>
      </c>
    </row>
    <row r="189" spans="1:25" x14ac:dyDescent="0.2">
      <c r="A189" s="212" t="s">
        <v>654</v>
      </c>
      <c r="B189" s="16"/>
      <c r="C189" s="131"/>
      <c r="D189" s="6" t="s">
        <v>813</v>
      </c>
      <c r="E189" s="12" t="s">
        <v>188</v>
      </c>
      <c r="F189" s="34">
        <f t="shared" si="119"/>
        <v>4</v>
      </c>
      <c r="G189" s="35">
        <f t="shared" si="120"/>
        <v>3.4</v>
      </c>
      <c r="H189" s="23">
        <f t="shared" si="121"/>
        <v>3.298</v>
      </c>
      <c r="I189" s="24">
        <f t="shared" si="121"/>
        <v>3.23</v>
      </c>
      <c r="J189" s="25">
        <f t="shared" si="121"/>
        <v>3.1959999999999997</v>
      </c>
      <c r="L189" s="99">
        <v>4</v>
      </c>
      <c r="M189" s="182">
        <f t="shared" si="98"/>
        <v>0</v>
      </c>
      <c r="N189" s="99">
        <v>3.4</v>
      </c>
      <c r="O189" s="182">
        <f t="shared" si="99"/>
        <v>0</v>
      </c>
      <c r="P189" s="88"/>
      <c r="Q189" s="94" t="s">
        <v>354</v>
      </c>
      <c r="R189" s="95"/>
      <c r="S189" s="95"/>
      <c r="T189" s="95"/>
      <c r="U189" s="95">
        <f t="shared" si="96"/>
        <v>0</v>
      </c>
      <c r="V189" s="95"/>
      <c r="W189" s="95">
        <f t="shared" si="97"/>
        <v>0</v>
      </c>
      <c r="X189" s="95">
        <v>0.4</v>
      </c>
      <c r="Y189" s="95">
        <v>0.18</v>
      </c>
    </row>
    <row r="190" spans="1:25" x14ac:dyDescent="0.2">
      <c r="A190" s="212" t="s">
        <v>656</v>
      </c>
      <c r="B190" s="16"/>
      <c r="C190" s="70"/>
      <c r="D190" s="6" t="s">
        <v>768</v>
      </c>
      <c r="E190" s="12" t="s">
        <v>188</v>
      </c>
      <c r="F190" s="34">
        <f>+M190</f>
        <v>3</v>
      </c>
      <c r="G190" s="35">
        <f>+O190</f>
        <v>3</v>
      </c>
      <c r="H190" s="23">
        <f t="shared" si="121"/>
        <v>2.91</v>
      </c>
      <c r="I190" s="24">
        <f t="shared" si="121"/>
        <v>2.8499999999999996</v>
      </c>
      <c r="J190" s="25">
        <f t="shared" si="121"/>
        <v>2.82</v>
      </c>
      <c r="L190" s="76">
        <v>3.6</v>
      </c>
      <c r="M190" s="99">
        <f t="shared" si="98"/>
        <v>3</v>
      </c>
      <c r="N190" s="76">
        <v>3</v>
      </c>
      <c r="O190" s="99">
        <f t="shared" si="99"/>
        <v>3</v>
      </c>
      <c r="P190" s="88"/>
      <c r="Q190" s="94" t="s">
        <v>807</v>
      </c>
      <c r="R190" s="95">
        <v>1.99</v>
      </c>
      <c r="S190" s="95"/>
      <c r="T190" s="95"/>
      <c r="U190" s="95">
        <f t="shared" si="96"/>
        <v>1.99</v>
      </c>
      <c r="V190" s="95"/>
      <c r="W190" s="95">
        <f t="shared" si="97"/>
        <v>1.99</v>
      </c>
      <c r="X190" s="95">
        <v>0.25</v>
      </c>
      <c r="Y190" s="95">
        <v>0.15</v>
      </c>
    </row>
    <row r="191" spans="1:25" hidden="1" x14ac:dyDescent="0.2">
      <c r="A191" s="14"/>
      <c r="B191" s="20"/>
      <c r="C191" s="20"/>
      <c r="D191" s="2" t="s">
        <v>231</v>
      </c>
      <c r="E191" s="14"/>
      <c r="F191" s="48"/>
      <c r="G191" s="48"/>
      <c r="H191" s="48"/>
      <c r="I191" s="48"/>
      <c r="J191" s="48"/>
      <c r="L191" s="258"/>
      <c r="M191" s="182"/>
      <c r="N191" s="258"/>
      <c r="O191" s="182"/>
      <c r="P191" s="88"/>
      <c r="U191" s="1">
        <f t="shared" si="96"/>
        <v>0</v>
      </c>
      <c r="W191" s="1">
        <f t="shared" si="97"/>
        <v>0</v>
      </c>
    </row>
    <row r="192" spans="1:25" hidden="1" x14ac:dyDescent="0.2">
      <c r="A192" s="207" t="s">
        <v>604</v>
      </c>
      <c r="B192" s="61"/>
      <c r="C192" s="131" t="s">
        <v>210</v>
      </c>
      <c r="D192" s="8" t="s">
        <v>232</v>
      </c>
      <c r="E192" s="13" t="s">
        <v>188</v>
      </c>
      <c r="F192" s="34">
        <f t="shared" ref="F192:F208" si="122">+L192</f>
        <v>127.07799999999999</v>
      </c>
      <c r="G192" s="35">
        <f t="shared" ref="G192:G208" si="123">+N192</f>
        <v>90.77</v>
      </c>
      <c r="H192" s="23">
        <f>+G192</f>
        <v>90.77</v>
      </c>
      <c r="I192" s="24">
        <f>+H192</f>
        <v>90.77</v>
      </c>
      <c r="J192" s="25">
        <f>+I192</f>
        <v>90.77</v>
      </c>
      <c r="L192" s="79">
        <v>127.07799999999999</v>
      </c>
      <c r="M192" s="182">
        <f>+O192*1.4</f>
        <v>0</v>
      </c>
      <c r="N192" s="79">
        <v>90.77</v>
      </c>
      <c r="O192" s="182"/>
      <c r="P192" s="88"/>
      <c r="Q192" s="94" t="s">
        <v>804</v>
      </c>
      <c r="R192" s="95"/>
      <c r="S192" s="95"/>
      <c r="T192" s="95"/>
      <c r="U192" s="95">
        <f t="shared" si="96"/>
        <v>0</v>
      </c>
      <c r="V192" s="95"/>
      <c r="W192" s="95">
        <f t="shared" si="97"/>
        <v>0</v>
      </c>
      <c r="X192" s="95"/>
      <c r="Y192" s="95"/>
    </row>
    <row r="193" spans="1:25" hidden="1" x14ac:dyDescent="0.2">
      <c r="A193" s="207" t="s">
        <v>605</v>
      </c>
      <c r="B193" s="61"/>
      <c r="C193" s="131" t="s">
        <v>210</v>
      </c>
      <c r="D193" s="8" t="s">
        <v>233</v>
      </c>
      <c r="E193" s="12" t="s">
        <v>188</v>
      </c>
      <c r="F193" s="34">
        <f t="shared" si="122"/>
        <v>158.35399999999998</v>
      </c>
      <c r="G193" s="35">
        <f t="shared" si="123"/>
        <v>113.11</v>
      </c>
      <c r="H193" s="23">
        <f t="shared" ref="H193:J193" si="124">+G193</f>
        <v>113.11</v>
      </c>
      <c r="I193" s="24">
        <f t="shared" si="124"/>
        <v>113.11</v>
      </c>
      <c r="J193" s="25">
        <f t="shared" si="124"/>
        <v>113.11</v>
      </c>
      <c r="L193" s="79">
        <v>158.35399999999998</v>
      </c>
      <c r="M193" s="182">
        <f t="shared" ref="M193:M207" si="125">+O193*1.4</f>
        <v>0</v>
      </c>
      <c r="N193" s="79">
        <v>113.11</v>
      </c>
      <c r="O193" s="182"/>
      <c r="P193" s="88"/>
      <c r="Q193" s="94" t="s">
        <v>804</v>
      </c>
      <c r="R193" s="95"/>
      <c r="S193" s="95"/>
      <c r="T193" s="95"/>
      <c r="U193" s="95">
        <f t="shared" si="96"/>
        <v>0</v>
      </c>
      <c r="V193" s="95"/>
      <c r="W193" s="95">
        <f t="shared" si="97"/>
        <v>0</v>
      </c>
      <c r="X193" s="95"/>
      <c r="Y193" s="95"/>
    </row>
    <row r="194" spans="1:25" hidden="1" x14ac:dyDescent="0.2">
      <c r="A194" s="207" t="s">
        <v>606</v>
      </c>
      <c r="B194" s="61"/>
      <c r="C194" s="131" t="s">
        <v>210</v>
      </c>
      <c r="D194" s="8" t="s">
        <v>234</v>
      </c>
      <c r="E194" s="15" t="s">
        <v>188</v>
      </c>
      <c r="F194" s="34">
        <f t="shared" si="122"/>
        <v>127.07799999999999</v>
      </c>
      <c r="G194" s="35">
        <f t="shared" si="123"/>
        <v>90.77</v>
      </c>
      <c r="H194" s="23">
        <f t="shared" ref="H194:J194" si="126">+G194</f>
        <v>90.77</v>
      </c>
      <c r="I194" s="24">
        <f t="shared" si="126"/>
        <v>90.77</v>
      </c>
      <c r="J194" s="25">
        <f t="shared" si="126"/>
        <v>90.77</v>
      </c>
      <c r="L194" s="79">
        <v>127.07799999999999</v>
      </c>
      <c r="M194" s="182">
        <f t="shared" si="125"/>
        <v>0</v>
      </c>
      <c r="N194" s="79">
        <v>90.77</v>
      </c>
      <c r="O194" s="182"/>
      <c r="P194" s="88"/>
      <c r="Q194" s="94" t="s">
        <v>804</v>
      </c>
      <c r="R194" s="95"/>
      <c r="S194" s="95"/>
      <c r="T194" s="95"/>
      <c r="U194" s="95">
        <f t="shared" si="96"/>
        <v>0</v>
      </c>
      <c r="V194" s="95"/>
      <c r="W194" s="95">
        <f t="shared" si="97"/>
        <v>0</v>
      </c>
      <c r="X194" s="95"/>
      <c r="Y194" s="95"/>
    </row>
    <row r="195" spans="1:25" hidden="1" x14ac:dyDescent="0.2">
      <c r="A195" s="207" t="s">
        <v>599</v>
      </c>
      <c r="B195" s="61"/>
      <c r="C195" s="131" t="s">
        <v>210</v>
      </c>
      <c r="D195" s="8" t="s">
        <v>235</v>
      </c>
      <c r="E195" s="12" t="s">
        <v>188</v>
      </c>
      <c r="F195" s="34">
        <f t="shared" si="122"/>
        <v>9.5060000000000002</v>
      </c>
      <c r="G195" s="35">
        <f t="shared" si="123"/>
        <v>6.79</v>
      </c>
      <c r="H195" s="23">
        <f t="shared" ref="H195:J195" si="127">+G195</f>
        <v>6.79</v>
      </c>
      <c r="I195" s="24">
        <f t="shared" si="127"/>
        <v>6.79</v>
      </c>
      <c r="J195" s="25">
        <f t="shared" si="127"/>
        <v>6.79</v>
      </c>
      <c r="L195" s="79">
        <v>9.5060000000000002</v>
      </c>
      <c r="M195" s="182">
        <f t="shared" si="125"/>
        <v>0</v>
      </c>
      <c r="N195" s="79">
        <v>6.79</v>
      </c>
      <c r="O195" s="182"/>
      <c r="P195" s="88"/>
      <c r="Q195" s="94" t="s">
        <v>804</v>
      </c>
      <c r="R195" s="95"/>
      <c r="S195" s="95"/>
      <c r="T195" s="95"/>
      <c r="U195" s="95">
        <f t="shared" si="96"/>
        <v>0</v>
      </c>
      <c r="V195" s="95"/>
      <c r="W195" s="95">
        <f t="shared" si="97"/>
        <v>0</v>
      </c>
      <c r="X195" s="95"/>
      <c r="Y195" s="95"/>
    </row>
    <row r="196" spans="1:25" hidden="1" x14ac:dyDescent="0.2">
      <c r="A196" s="207" t="s">
        <v>600</v>
      </c>
      <c r="B196" s="61"/>
      <c r="C196" s="131" t="s">
        <v>210</v>
      </c>
      <c r="D196" s="8" t="s">
        <v>236</v>
      </c>
      <c r="E196" s="12" t="s">
        <v>188</v>
      </c>
      <c r="F196" s="34">
        <f t="shared" si="122"/>
        <v>9.8559999999999999</v>
      </c>
      <c r="G196" s="35">
        <f t="shared" si="123"/>
        <v>7.04</v>
      </c>
      <c r="H196" s="23">
        <f t="shared" ref="H196:J196" si="128">+G196</f>
        <v>7.04</v>
      </c>
      <c r="I196" s="24">
        <f t="shared" si="128"/>
        <v>7.04</v>
      </c>
      <c r="J196" s="25">
        <f t="shared" si="128"/>
        <v>7.04</v>
      </c>
      <c r="L196" s="79">
        <v>9.8559999999999999</v>
      </c>
      <c r="M196" s="182">
        <f t="shared" si="125"/>
        <v>0</v>
      </c>
      <c r="N196" s="79">
        <v>7.04</v>
      </c>
      <c r="O196" s="182"/>
      <c r="P196" s="88"/>
      <c r="Q196" s="94" t="s">
        <v>804</v>
      </c>
      <c r="R196" s="95"/>
      <c r="S196" s="95"/>
      <c r="T196" s="95"/>
      <c r="U196" s="95">
        <f t="shared" ref="U196:U218" si="129">SUM(R196:T196)</f>
        <v>0</v>
      </c>
      <c r="V196" s="95"/>
      <c r="W196" s="95">
        <f t="shared" ref="W196:W218" si="130">+U196*(1+V196)</f>
        <v>0</v>
      </c>
      <c r="X196" s="95"/>
      <c r="Y196" s="95"/>
    </row>
    <row r="197" spans="1:25" hidden="1" x14ac:dyDescent="0.2">
      <c r="A197" s="207" t="s">
        <v>611</v>
      </c>
      <c r="B197" s="61"/>
      <c r="C197" s="131" t="s">
        <v>210</v>
      </c>
      <c r="D197" s="8" t="s">
        <v>237</v>
      </c>
      <c r="E197" s="12" t="s">
        <v>188</v>
      </c>
      <c r="F197" s="34">
        <f t="shared" si="122"/>
        <v>18.2</v>
      </c>
      <c r="G197" s="35">
        <f t="shared" si="123"/>
        <v>13</v>
      </c>
      <c r="H197" s="23">
        <f t="shared" ref="H197:J197" si="131">+G197</f>
        <v>13</v>
      </c>
      <c r="I197" s="24">
        <f t="shared" si="131"/>
        <v>13</v>
      </c>
      <c r="J197" s="25">
        <f t="shared" si="131"/>
        <v>13</v>
      </c>
      <c r="L197" s="79">
        <v>18.2</v>
      </c>
      <c r="M197" s="182">
        <f t="shared" si="125"/>
        <v>0</v>
      </c>
      <c r="N197" s="79">
        <v>13</v>
      </c>
      <c r="O197" s="182"/>
      <c r="P197" s="88"/>
      <c r="Q197" s="94" t="s">
        <v>804</v>
      </c>
      <c r="R197" s="95"/>
      <c r="S197" s="95"/>
      <c r="T197" s="95"/>
      <c r="U197" s="95">
        <f t="shared" si="129"/>
        <v>0</v>
      </c>
      <c r="V197" s="95"/>
      <c r="W197" s="95">
        <f t="shared" si="130"/>
        <v>0</v>
      </c>
      <c r="X197" s="95"/>
      <c r="Y197" s="95"/>
    </row>
    <row r="198" spans="1:25" hidden="1" x14ac:dyDescent="0.2">
      <c r="A198" s="207" t="s">
        <v>612</v>
      </c>
      <c r="B198" s="61"/>
      <c r="C198" s="131" t="s">
        <v>210</v>
      </c>
      <c r="D198" s="8" t="s">
        <v>238</v>
      </c>
      <c r="E198" s="12" t="s">
        <v>188</v>
      </c>
      <c r="F198" s="34">
        <f t="shared" si="122"/>
        <v>9.8139999999999983</v>
      </c>
      <c r="G198" s="35">
        <f t="shared" si="123"/>
        <v>7.01</v>
      </c>
      <c r="H198" s="23">
        <f t="shared" ref="H198:J198" si="132">+G198</f>
        <v>7.01</v>
      </c>
      <c r="I198" s="24">
        <f t="shared" si="132"/>
        <v>7.01</v>
      </c>
      <c r="J198" s="25">
        <f t="shared" si="132"/>
        <v>7.01</v>
      </c>
      <c r="L198" s="79">
        <v>9.8139999999999983</v>
      </c>
      <c r="M198" s="182">
        <f t="shared" si="125"/>
        <v>0</v>
      </c>
      <c r="N198" s="79">
        <v>7.01</v>
      </c>
      <c r="O198" s="182"/>
      <c r="P198" s="88"/>
      <c r="Q198" s="94" t="s">
        <v>804</v>
      </c>
      <c r="R198" s="95"/>
      <c r="S198" s="95"/>
      <c r="T198" s="95"/>
      <c r="U198" s="95">
        <f t="shared" si="129"/>
        <v>0</v>
      </c>
      <c r="V198" s="95"/>
      <c r="W198" s="95">
        <f t="shared" si="130"/>
        <v>0</v>
      </c>
      <c r="X198" s="95"/>
      <c r="Y198" s="95"/>
    </row>
    <row r="199" spans="1:25" hidden="1" x14ac:dyDescent="0.2">
      <c r="A199" s="207" t="s">
        <v>598</v>
      </c>
      <c r="B199" s="61"/>
      <c r="C199" s="131" t="s">
        <v>210</v>
      </c>
      <c r="D199" s="8" t="s">
        <v>245</v>
      </c>
      <c r="E199" s="12" t="s">
        <v>188</v>
      </c>
      <c r="F199" s="34">
        <f t="shared" si="122"/>
        <v>13.103999999999999</v>
      </c>
      <c r="G199" s="35">
        <f t="shared" si="123"/>
        <v>9.36</v>
      </c>
      <c r="H199" s="23">
        <f t="shared" ref="H199:J199" si="133">+G199</f>
        <v>9.36</v>
      </c>
      <c r="I199" s="24">
        <f t="shared" si="133"/>
        <v>9.36</v>
      </c>
      <c r="J199" s="25">
        <f t="shared" si="133"/>
        <v>9.36</v>
      </c>
      <c r="L199" s="79">
        <v>13.103999999999999</v>
      </c>
      <c r="M199" s="182">
        <f t="shared" si="125"/>
        <v>0</v>
      </c>
      <c r="N199" s="79">
        <v>9.36</v>
      </c>
      <c r="O199" s="182"/>
      <c r="P199" s="88"/>
      <c r="Q199" s="94" t="s">
        <v>804</v>
      </c>
      <c r="R199" s="95"/>
      <c r="S199" s="95"/>
      <c r="T199" s="95"/>
      <c r="U199" s="95">
        <f t="shared" si="129"/>
        <v>0</v>
      </c>
      <c r="V199" s="95"/>
      <c r="W199" s="95">
        <f t="shared" si="130"/>
        <v>0</v>
      </c>
      <c r="X199" s="95"/>
      <c r="Y199" s="95"/>
    </row>
    <row r="200" spans="1:25" hidden="1" x14ac:dyDescent="0.2">
      <c r="A200" s="207" t="s">
        <v>610</v>
      </c>
      <c r="B200" s="61"/>
      <c r="C200" s="131" t="s">
        <v>210</v>
      </c>
      <c r="D200" s="8" t="s">
        <v>246</v>
      </c>
      <c r="E200" s="12" t="s">
        <v>188</v>
      </c>
      <c r="F200" s="34">
        <f t="shared" si="122"/>
        <v>19.207999999999998</v>
      </c>
      <c r="G200" s="35">
        <f t="shared" si="123"/>
        <v>13.72</v>
      </c>
      <c r="H200" s="23">
        <f t="shared" ref="H200:J200" si="134">+G200</f>
        <v>13.72</v>
      </c>
      <c r="I200" s="24">
        <f t="shared" si="134"/>
        <v>13.72</v>
      </c>
      <c r="J200" s="25">
        <f t="shared" si="134"/>
        <v>13.72</v>
      </c>
      <c r="L200" s="79">
        <v>19.207999999999998</v>
      </c>
      <c r="M200" s="182">
        <f t="shared" si="125"/>
        <v>0</v>
      </c>
      <c r="N200" s="79">
        <v>13.72</v>
      </c>
      <c r="O200" s="182"/>
      <c r="P200" s="88"/>
      <c r="Q200" s="94" t="s">
        <v>804</v>
      </c>
      <c r="R200" s="95"/>
      <c r="S200" s="95"/>
      <c r="T200" s="95"/>
      <c r="U200" s="95">
        <f t="shared" si="129"/>
        <v>0</v>
      </c>
      <c r="V200" s="95"/>
      <c r="W200" s="95">
        <f t="shared" si="130"/>
        <v>0</v>
      </c>
      <c r="X200" s="95"/>
      <c r="Y200" s="95"/>
    </row>
    <row r="201" spans="1:25" hidden="1" x14ac:dyDescent="0.2">
      <c r="A201" s="207" t="s">
        <v>609</v>
      </c>
      <c r="B201" s="61"/>
      <c r="C201" s="131" t="s">
        <v>210</v>
      </c>
      <c r="D201" s="8" t="s">
        <v>247</v>
      </c>
      <c r="E201" s="12" t="s">
        <v>188</v>
      </c>
      <c r="F201" s="34">
        <f t="shared" si="122"/>
        <v>11.536</v>
      </c>
      <c r="G201" s="35">
        <f t="shared" si="123"/>
        <v>8.24</v>
      </c>
      <c r="H201" s="23">
        <f t="shared" ref="H201:J201" si="135">+G201</f>
        <v>8.24</v>
      </c>
      <c r="I201" s="24">
        <f t="shared" si="135"/>
        <v>8.24</v>
      </c>
      <c r="J201" s="25">
        <f t="shared" si="135"/>
        <v>8.24</v>
      </c>
      <c r="L201" s="79">
        <v>11.536</v>
      </c>
      <c r="M201" s="182">
        <f t="shared" si="125"/>
        <v>0</v>
      </c>
      <c r="N201" s="79">
        <v>8.24</v>
      </c>
      <c r="O201" s="182"/>
      <c r="P201" s="88"/>
      <c r="Q201" s="94" t="s">
        <v>804</v>
      </c>
      <c r="R201" s="95"/>
      <c r="S201" s="95"/>
      <c r="T201" s="95"/>
      <c r="U201" s="95">
        <f t="shared" si="129"/>
        <v>0</v>
      </c>
      <c r="V201" s="95"/>
      <c r="W201" s="95">
        <f t="shared" si="130"/>
        <v>0</v>
      </c>
      <c r="X201" s="95"/>
      <c r="Y201" s="95"/>
    </row>
    <row r="202" spans="1:25" hidden="1" x14ac:dyDescent="0.2">
      <c r="A202" s="207" t="s">
        <v>601</v>
      </c>
      <c r="B202" s="61"/>
      <c r="C202" s="131" t="s">
        <v>210</v>
      </c>
      <c r="D202" s="8" t="s">
        <v>244</v>
      </c>
      <c r="E202" s="12" t="s">
        <v>188</v>
      </c>
      <c r="F202" s="34">
        <f t="shared" si="122"/>
        <v>42.966000000000001</v>
      </c>
      <c r="G202" s="35">
        <f t="shared" si="123"/>
        <v>30.69</v>
      </c>
      <c r="H202" s="23">
        <f t="shared" ref="H202:J202" si="136">+G202</f>
        <v>30.69</v>
      </c>
      <c r="I202" s="24">
        <f t="shared" si="136"/>
        <v>30.69</v>
      </c>
      <c r="J202" s="25">
        <f t="shared" si="136"/>
        <v>30.69</v>
      </c>
      <c r="L202" s="79">
        <v>42.966000000000001</v>
      </c>
      <c r="M202" s="182">
        <f t="shared" si="125"/>
        <v>0</v>
      </c>
      <c r="N202" s="79">
        <v>30.69</v>
      </c>
      <c r="O202" s="182"/>
      <c r="P202" s="88"/>
      <c r="Q202" s="94" t="s">
        <v>804</v>
      </c>
      <c r="R202" s="95"/>
      <c r="S202" s="95"/>
      <c r="T202" s="95"/>
      <c r="U202" s="95">
        <f>SUM(R202:T202)</f>
        <v>0</v>
      </c>
      <c r="V202" s="95"/>
      <c r="W202" s="95">
        <f t="shared" si="130"/>
        <v>0</v>
      </c>
      <c r="X202" s="95"/>
      <c r="Y202" s="95"/>
    </row>
    <row r="203" spans="1:25" hidden="1" x14ac:dyDescent="0.2">
      <c r="A203" s="207" t="s">
        <v>607</v>
      </c>
      <c r="B203" s="61"/>
      <c r="C203" s="131" t="s">
        <v>210</v>
      </c>
      <c r="D203" s="8" t="s">
        <v>243</v>
      </c>
      <c r="E203" s="12" t="s">
        <v>188</v>
      </c>
      <c r="F203" s="34">
        <f t="shared" si="122"/>
        <v>24.527999999999999</v>
      </c>
      <c r="G203" s="35">
        <f t="shared" si="123"/>
        <v>17.52</v>
      </c>
      <c r="H203" s="23">
        <f t="shared" ref="H203:J203" si="137">+G203</f>
        <v>17.52</v>
      </c>
      <c r="I203" s="24">
        <f t="shared" si="137"/>
        <v>17.52</v>
      </c>
      <c r="J203" s="25">
        <f t="shared" si="137"/>
        <v>17.52</v>
      </c>
      <c r="L203" s="79">
        <v>24.527999999999999</v>
      </c>
      <c r="M203" s="182">
        <f t="shared" si="125"/>
        <v>0</v>
      </c>
      <c r="N203" s="79">
        <v>17.52</v>
      </c>
      <c r="O203" s="182"/>
      <c r="P203" s="88"/>
      <c r="Q203" s="94" t="s">
        <v>804</v>
      </c>
      <c r="R203" s="95"/>
      <c r="S203" s="95"/>
      <c r="T203" s="95"/>
      <c r="U203" s="95">
        <f t="shared" si="129"/>
        <v>0</v>
      </c>
      <c r="V203" s="95"/>
      <c r="W203" s="95">
        <f t="shared" si="130"/>
        <v>0</v>
      </c>
      <c r="X203" s="95"/>
      <c r="Y203" s="95"/>
    </row>
    <row r="204" spans="1:25" hidden="1" x14ac:dyDescent="0.2">
      <c r="A204" s="207" t="s">
        <v>608</v>
      </c>
      <c r="B204" s="61"/>
      <c r="C204" s="131" t="s">
        <v>210</v>
      </c>
      <c r="D204" s="8" t="s">
        <v>242</v>
      </c>
      <c r="E204" s="12" t="s">
        <v>188</v>
      </c>
      <c r="F204" s="34">
        <f t="shared" si="122"/>
        <v>32.997999999999998</v>
      </c>
      <c r="G204" s="35">
        <f t="shared" si="123"/>
        <v>23.57</v>
      </c>
      <c r="H204" s="23">
        <f t="shared" ref="H204:J204" si="138">+G204</f>
        <v>23.57</v>
      </c>
      <c r="I204" s="24">
        <f t="shared" si="138"/>
        <v>23.57</v>
      </c>
      <c r="J204" s="25">
        <f t="shared" si="138"/>
        <v>23.57</v>
      </c>
      <c r="L204" s="79">
        <v>32.997999999999998</v>
      </c>
      <c r="M204" s="182">
        <f t="shared" si="125"/>
        <v>0</v>
      </c>
      <c r="N204" s="79">
        <v>23.57</v>
      </c>
      <c r="O204" s="182"/>
      <c r="P204" s="88"/>
      <c r="Q204" s="94" t="s">
        <v>804</v>
      </c>
      <c r="S204" s="95"/>
      <c r="T204" s="95"/>
      <c r="U204" s="95">
        <f t="shared" si="129"/>
        <v>0</v>
      </c>
      <c r="V204" s="95"/>
      <c r="W204" s="95">
        <f t="shared" si="130"/>
        <v>0</v>
      </c>
      <c r="X204" s="95"/>
      <c r="Y204" s="95"/>
    </row>
    <row r="205" spans="1:25" hidden="1" x14ac:dyDescent="0.2">
      <c r="A205" s="207" t="s">
        <v>602</v>
      </c>
      <c r="B205" s="61"/>
      <c r="C205" s="131" t="s">
        <v>210</v>
      </c>
      <c r="D205" s="8" t="s">
        <v>239</v>
      </c>
      <c r="E205" s="12" t="s">
        <v>188</v>
      </c>
      <c r="F205" s="34">
        <f t="shared" si="122"/>
        <v>5.04</v>
      </c>
      <c r="G205" s="35">
        <f t="shared" si="123"/>
        <v>3.6</v>
      </c>
      <c r="H205" s="23">
        <f t="shared" ref="H205:J205" si="139">+G205</f>
        <v>3.6</v>
      </c>
      <c r="I205" s="24">
        <f t="shared" si="139"/>
        <v>3.6</v>
      </c>
      <c r="J205" s="25">
        <f t="shared" si="139"/>
        <v>3.6</v>
      </c>
      <c r="L205" s="79">
        <v>5.04</v>
      </c>
      <c r="M205" s="182">
        <f t="shared" si="125"/>
        <v>0</v>
      </c>
      <c r="N205" s="79">
        <v>3.6</v>
      </c>
      <c r="O205" s="182"/>
      <c r="P205" s="88"/>
      <c r="Q205" s="94" t="s">
        <v>804</v>
      </c>
      <c r="R205" s="95"/>
      <c r="S205" s="95"/>
      <c r="T205" s="95"/>
      <c r="U205" s="95">
        <f t="shared" si="129"/>
        <v>0</v>
      </c>
      <c r="V205" s="95"/>
      <c r="W205" s="95">
        <f t="shared" si="130"/>
        <v>0</v>
      </c>
      <c r="X205" s="95"/>
      <c r="Y205" s="95"/>
    </row>
    <row r="206" spans="1:25" hidden="1" x14ac:dyDescent="0.2">
      <c r="A206" s="207" t="s">
        <v>613</v>
      </c>
      <c r="B206" s="61"/>
      <c r="C206" s="131" t="s">
        <v>210</v>
      </c>
      <c r="D206" s="8" t="s">
        <v>241</v>
      </c>
      <c r="E206" s="12" t="s">
        <v>188</v>
      </c>
      <c r="F206" s="34">
        <f t="shared" si="122"/>
        <v>9.2959999999999994</v>
      </c>
      <c r="G206" s="35">
        <f t="shared" si="123"/>
        <v>6.64</v>
      </c>
      <c r="H206" s="23">
        <f t="shared" ref="H206:J206" si="140">+G206</f>
        <v>6.64</v>
      </c>
      <c r="I206" s="24">
        <f t="shared" si="140"/>
        <v>6.64</v>
      </c>
      <c r="J206" s="25">
        <f t="shared" si="140"/>
        <v>6.64</v>
      </c>
      <c r="L206" s="79">
        <v>9.2959999999999994</v>
      </c>
      <c r="M206" s="182">
        <f t="shared" si="125"/>
        <v>0</v>
      </c>
      <c r="N206" s="79">
        <v>6.64</v>
      </c>
      <c r="O206" s="182"/>
      <c r="P206" s="88"/>
      <c r="Q206" s="94" t="s">
        <v>804</v>
      </c>
      <c r="R206" s="95"/>
      <c r="S206" s="95"/>
      <c r="T206" s="95"/>
      <c r="U206" s="95">
        <f t="shared" si="129"/>
        <v>0</v>
      </c>
      <c r="V206" s="95"/>
      <c r="W206" s="95">
        <f t="shared" si="130"/>
        <v>0</v>
      </c>
      <c r="X206" s="95"/>
      <c r="Y206" s="95"/>
    </row>
    <row r="207" spans="1:25" hidden="1" x14ac:dyDescent="0.2">
      <c r="A207" s="207" t="s">
        <v>603</v>
      </c>
      <c r="B207" s="61"/>
      <c r="C207" s="131" t="s">
        <v>210</v>
      </c>
      <c r="D207" s="8" t="s">
        <v>240</v>
      </c>
      <c r="E207" s="12" t="s">
        <v>188</v>
      </c>
      <c r="F207" s="34">
        <f t="shared" si="122"/>
        <v>16.295999999999999</v>
      </c>
      <c r="G207" s="35">
        <f t="shared" si="123"/>
        <v>11.64</v>
      </c>
      <c r="H207" s="23">
        <f>+G207</f>
        <v>11.64</v>
      </c>
      <c r="I207" s="24">
        <f>+H207</f>
        <v>11.64</v>
      </c>
      <c r="J207" s="25">
        <f>+I207</f>
        <v>11.64</v>
      </c>
      <c r="L207" s="79">
        <v>16.295999999999999</v>
      </c>
      <c r="M207" s="182">
        <f t="shared" si="125"/>
        <v>0</v>
      </c>
      <c r="N207" s="79">
        <v>11.64</v>
      </c>
      <c r="O207" s="182"/>
      <c r="P207" s="88"/>
      <c r="Q207" s="94" t="s">
        <v>804</v>
      </c>
      <c r="R207" s="95"/>
      <c r="S207" s="95"/>
      <c r="T207" s="95"/>
      <c r="U207" s="95">
        <f t="shared" si="129"/>
        <v>0</v>
      </c>
      <c r="V207" s="95"/>
      <c r="W207" s="95">
        <f t="shared" si="130"/>
        <v>0</v>
      </c>
      <c r="X207" s="95"/>
      <c r="Y207" s="95"/>
    </row>
    <row r="208" spans="1:25" hidden="1" x14ac:dyDescent="0.2">
      <c r="A208" s="207" t="s">
        <v>690</v>
      </c>
      <c r="B208" s="61"/>
      <c r="C208" s="131" t="s">
        <v>210</v>
      </c>
      <c r="D208" s="8" t="s">
        <v>788</v>
      </c>
      <c r="E208" s="12" t="s">
        <v>188</v>
      </c>
      <c r="F208" s="34">
        <f t="shared" si="122"/>
        <v>16.26408</v>
      </c>
      <c r="G208" s="35">
        <f t="shared" si="123"/>
        <v>13.553400000000002</v>
      </c>
      <c r="H208" s="23">
        <v>13.146798</v>
      </c>
      <c r="I208" s="24">
        <v>12.875730000000001</v>
      </c>
      <c r="J208" s="25">
        <v>12.740196000000001</v>
      </c>
      <c r="L208" s="79">
        <v>16.26408</v>
      </c>
      <c r="M208" s="182">
        <v>16.26408</v>
      </c>
      <c r="N208" s="79">
        <v>13.553400000000002</v>
      </c>
      <c r="O208" s="182">
        <v>13.553400000000002</v>
      </c>
      <c r="P208" s="88"/>
      <c r="Q208" s="94" t="s">
        <v>336</v>
      </c>
      <c r="R208" s="95"/>
      <c r="S208" s="95"/>
      <c r="T208" s="95"/>
      <c r="U208" s="95"/>
      <c r="V208" s="95"/>
      <c r="W208" s="95"/>
      <c r="X208" s="95"/>
      <c r="Y208" s="95"/>
    </row>
    <row r="209" spans="1:25" x14ac:dyDescent="0.2">
      <c r="A209" s="14"/>
      <c r="B209" s="20"/>
      <c r="C209" s="20"/>
      <c r="D209" s="2" t="s">
        <v>174</v>
      </c>
      <c r="E209" s="14"/>
      <c r="F209" s="48"/>
      <c r="G209" s="48"/>
      <c r="H209" s="48"/>
      <c r="I209" s="48"/>
      <c r="J209" s="48"/>
      <c r="L209" s="258"/>
      <c r="M209" s="182"/>
      <c r="N209" s="258"/>
      <c r="O209" s="182"/>
      <c r="P209" s="88"/>
      <c r="U209" s="1">
        <f t="shared" si="129"/>
        <v>0</v>
      </c>
      <c r="W209" s="1">
        <f t="shared" si="130"/>
        <v>0</v>
      </c>
    </row>
    <row r="210" spans="1:25" x14ac:dyDescent="0.2">
      <c r="A210" s="207" t="s">
        <v>554</v>
      </c>
      <c r="B210" s="61"/>
      <c r="C210" s="131"/>
      <c r="D210" s="8" t="s">
        <v>179</v>
      </c>
      <c r="E210" s="15" t="s">
        <v>196</v>
      </c>
      <c r="F210" s="34">
        <f>+M210</f>
        <v>92</v>
      </c>
      <c r="G210" s="35">
        <f>+O210</f>
        <v>74</v>
      </c>
      <c r="H210" s="23">
        <f t="shared" ref="H210:J213" si="141">$G210*(1-H$1)</f>
        <v>71.78</v>
      </c>
      <c r="I210" s="24">
        <f t="shared" si="141"/>
        <v>70.3</v>
      </c>
      <c r="J210" s="25">
        <f t="shared" si="141"/>
        <v>69.56</v>
      </c>
      <c r="L210" s="79">
        <v>88</v>
      </c>
      <c r="M210" s="99">
        <f t="shared" ref="M210:M218" si="142">ROUND(+W210*(1+X210)*(1+Y210)*(1+$R$1),0)</f>
        <v>92</v>
      </c>
      <c r="N210" s="79">
        <v>70</v>
      </c>
      <c r="O210" s="99">
        <f t="shared" ref="O210:O218" si="143">ROUND(+W210*(1+X210)*(1+$R$1),0)</f>
        <v>74</v>
      </c>
      <c r="P210" s="88"/>
      <c r="Q210" s="94" t="s">
        <v>801</v>
      </c>
      <c r="R210" s="95">
        <v>45</v>
      </c>
      <c r="S210" s="95"/>
      <c r="T210" s="95"/>
      <c r="U210" s="95">
        <f t="shared" si="129"/>
        <v>45</v>
      </c>
      <c r="V210" s="95"/>
      <c r="W210" s="95">
        <f t="shared" si="130"/>
        <v>45</v>
      </c>
      <c r="X210" s="95">
        <v>0.52</v>
      </c>
      <c r="Y210" s="95">
        <v>0.25</v>
      </c>
    </row>
    <row r="211" spans="1:25" x14ac:dyDescent="0.2">
      <c r="A211" s="207" t="s">
        <v>558</v>
      </c>
      <c r="C211" s="131"/>
      <c r="D211" s="8" t="s">
        <v>175</v>
      </c>
      <c r="E211" s="15" t="s">
        <v>196</v>
      </c>
      <c r="F211" s="34">
        <f t="shared" ref="F211:F213" si="144">+M211</f>
        <v>133</v>
      </c>
      <c r="G211" s="35">
        <f t="shared" ref="G211:G213" si="145">+O211</f>
        <v>107</v>
      </c>
      <c r="H211" s="23">
        <f t="shared" si="141"/>
        <v>103.78999999999999</v>
      </c>
      <c r="I211" s="24">
        <f t="shared" si="141"/>
        <v>101.64999999999999</v>
      </c>
      <c r="J211" s="25">
        <f t="shared" si="141"/>
        <v>100.58</v>
      </c>
      <c r="L211" s="79">
        <v>132</v>
      </c>
      <c r="M211" s="99">
        <f t="shared" si="142"/>
        <v>133</v>
      </c>
      <c r="N211" s="79">
        <v>106</v>
      </c>
      <c r="O211" s="99">
        <f t="shared" si="143"/>
        <v>107</v>
      </c>
      <c r="P211" s="88"/>
      <c r="Q211" s="94" t="s">
        <v>801</v>
      </c>
      <c r="R211" s="95">
        <v>65</v>
      </c>
      <c r="S211" s="95"/>
      <c r="T211" s="95"/>
      <c r="U211" s="95">
        <f>SUM(R211:T211)</f>
        <v>65</v>
      </c>
      <c r="V211" s="95"/>
      <c r="W211" s="95">
        <f t="shared" si="130"/>
        <v>65</v>
      </c>
      <c r="X211" s="95">
        <v>0.52</v>
      </c>
      <c r="Y211" s="95">
        <v>0.25</v>
      </c>
    </row>
    <row r="212" spans="1:25" x14ac:dyDescent="0.2">
      <c r="A212" s="210" t="s">
        <v>556</v>
      </c>
      <c r="C212" s="131"/>
      <c r="D212" s="6" t="s">
        <v>176</v>
      </c>
      <c r="E212" s="12" t="s">
        <v>196</v>
      </c>
      <c r="F212" s="34">
        <f t="shared" si="144"/>
        <v>69</v>
      </c>
      <c r="G212" s="35">
        <f t="shared" si="145"/>
        <v>55</v>
      </c>
      <c r="H212" s="23">
        <f t="shared" si="141"/>
        <v>53.35</v>
      </c>
      <c r="I212" s="24">
        <f t="shared" si="141"/>
        <v>52.25</v>
      </c>
      <c r="J212" s="25">
        <f t="shared" si="141"/>
        <v>51.699999999999996</v>
      </c>
      <c r="L212" s="76">
        <v>68</v>
      </c>
      <c r="M212" s="99">
        <f t="shared" si="142"/>
        <v>69</v>
      </c>
      <c r="N212" s="76">
        <v>55</v>
      </c>
      <c r="O212" s="99">
        <f t="shared" si="143"/>
        <v>55</v>
      </c>
      <c r="P212" s="88"/>
      <c r="Q212" s="94" t="s">
        <v>801</v>
      </c>
      <c r="R212" s="95">
        <v>33.75</v>
      </c>
      <c r="S212" s="95"/>
      <c r="T212" s="95"/>
      <c r="U212" s="95">
        <f t="shared" si="129"/>
        <v>33.75</v>
      </c>
      <c r="V212" s="95"/>
      <c r="W212" s="95">
        <f t="shared" si="130"/>
        <v>33.75</v>
      </c>
      <c r="X212" s="95">
        <v>0.52</v>
      </c>
      <c r="Y212" s="95">
        <v>0.25</v>
      </c>
    </row>
    <row r="213" spans="1:25" x14ac:dyDescent="0.2">
      <c r="A213" s="210" t="s">
        <v>557</v>
      </c>
      <c r="C213" s="131"/>
      <c r="D213" s="6" t="s">
        <v>177</v>
      </c>
      <c r="E213" s="12" t="s">
        <v>196</v>
      </c>
      <c r="F213" s="34">
        <f t="shared" si="144"/>
        <v>21</v>
      </c>
      <c r="G213" s="35">
        <f t="shared" si="145"/>
        <v>17</v>
      </c>
      <c r="H213" s="23">
        <f t="shared" si="141"/>
        <v>16.489999999999998</v>
      </c>
      <c r="I213" s="24">
        <f t="shared" si="141"/>
        <v>16.149999999999999</v>
      </c>
      <c r="J213" s="25">
        <f t="shared" si="141"/>
        <v>15.979999999999999</v>
      </c>
      <c r="L213" s="76">
        <v>20</v>
      </c>
      <c r="M213" s="99">
        <f t="shared" si="142"/>
        <v>21</v>
      </c>
      <c r="N213" s="76">
        <v>16</v>
      </c>
      <c r="O213" s="99">
        <f t="shared" si="143"/>
        <v>17</v>
      </c>
      <c r="P213" s="88"/>
      <c r="Q213" s="94" t="s">
        <v>801</v>
      </c>
      <c r="R213" s="95">
        <v>11</v>
      </c>
      <c r="S213" s="95"/>
      <c r="T213" s="95"/>
      <c r="U213" s="95">
        <f t="shared" si="129"/>
        <v>11</v>
      </c>
      <c r="V213" s="95"/>
      <c r="W213" s="95">
        <f t="shared" si="130"/>
        <v>11</v>
      </c>
      <c r="X213" s="95">
        <v>0.39</v>
      </c>
      <c r="Y213" s="95">
        <v>0.3</v>
      </c>
    </row>
    <row r="214" spans="1:25" x14ac:dyDescent="0.2">
      <c r="A214" s="14"/>
      <c r="B214" s="20"/>
      <c r="C214" s="20"/>
      <c r="D214" s="2" t="s">
        <v>180</v>
      </c>
      <c r="E214" s="14"/>
      <c r="F214" s="48"/>
      <c r="G214" s="48"/>
      <c r="H214" s="48"/>
      <c r="I214" s="48"/>
      <c r="J214" s="48"/>
      <c r="L214" s="258"/>
      <c r="M214" s="182"/>
      <c r="N214" s="258"/>
      <c r="O214" s="182"/>
      <c r="P214" s="88"/>
      <c r="U214" s="1">
        <f t="shared" si="129"/>
        <v>0</v>
      </c>
      <c r="W214" s="1">
        <f t="shared" si="130"/>
        <v>0</v>
      </c>
    </row>
    <row r="215" spans="1:25" x14ac:dyDescent="0.2">
      <c r="A215" s="211" t="s">
        <v>537</v>
      </c>
      <c r="B215" s="60"/>
      <c r="C215" s="131"/>
      <c r="D215" s="6" t="s">
        <v>184</v>
      </c>
      <c r="E215" s="12" t="s">
        <v>196</v>
      </c>
      <c r="F215" s="34">
        <f t="shared" ref="F215" si="146">+M215</f>
        <v>55</v>
      </c>
      <c r="G215" s="35">
        <f t="shared" ref="G215" si="147">+O215</f>
        <v>39</v>
      </c>
      <c r="H215" s="23">
        <f t="shared" ref="H215:J215" si="148">$G215*(1-H$1)</f>
        <v>37.83</v>
      </c>
      <c r="I215" s="24">
        <f t="shared" si="148"/>
        <v>37.049999999999997</v>
      </c>
      <c r="J215" s="25">
        <f t="shared" si="148"/>
        <v>36.659999999999997</v>
      </c>
      <c r="L215" s="76">
        <v>51</v>
      </c>
      <c r="M215" s="99">
        <f t="shared" si="142"/>
        <v>55</v>
      </c>
      <c r="N215" s="76">
        <v>32</v>
      </c>
      <c r="O215" s="99">
        <f t="shared" si="143"/>
        <v>39</v>
      </c>
      <c r="P215" s="88"/>
      <c r="Q215" s="94" t="s">
        <v>803</v>
      </c>
      <c r="R215" s="95">
        <v>20.85</v>
      </c>
      <c r="S215" s="95"/>
      <c r="T215" s="95"/>
      <c r="U215" s="95">
        <f t="shared" si="129"/>
        <v>20.85</v>
      </c>
      <c r="V215" s="95"/>
      <c r="W215" s="95">
        <f t="shared" si="130"/>
        <v>20.85</v>
      </c>
      <c r="X215" s="95">
        <v>0.74</v>
      </c>
      <c r="Y215" s="95">
        <v>0.4</v>
      </c>
    </row>
    <row r="216" spans="1:25" x14ac:dyDescent="0.2">
      <c r="A216" s="14"/>
      <c r="B216" s="20"/>
      <c r="C216" s="20"/>
      <c r="D216" s="2" t="s">
        <v>185</v>
      </c>
      <c r="E216" s="14"/>
      <c r="F216" s="48"/>
      <c r="G216" s="48"/>
      <c r="H216" s="48"/>
      <c r="I216" s="48"/>
      <c r="J216" s="48"/>
      <c r="L216" s="258"/>
      <c r="M216" s="182"/>
      <c r="N216" s="258"/>
      <c r="O216" s="182"/>
      <c r="P216" s="88"/>
      <c r="U216" s="1">
        <f t="shared" si="129"/>
        <v>0</v>
      </c>
      <c r="W216" s="1">
        <f t="shared" si="130"/>
        <v>0</v>
      </c>
    </row>
    <row r="217" spans="1:25" x14ac:dyDescent="0.2">
      <c r="A217" s="207" t="s">
        <v>583</v>
      </c>
      <c r="B217" s="61"/>
      <c r="C217" s="118"/>
      <c r="D217" s="6" t="s">
        <v>186</v>
      </c>
      <c r="E217" s="12" t="s">
        <v>198</v>
      </c>
      <c r="F217" s="34">
        <f>+M217</f>
        <v>8</v>
      </c>
      <c r="G217" s="35">
        <f>+O217</f>
        <v>5</v>
      </c>
      <c r="H217" s="23">
        <f>+O217</f>
        <v>5</v>
      </c>
      <c r="I217" s="24">
        <f>+O217</f>
        <v>5</v>
      </c>
      <c r="J217" s="25">
        <f>+O217</f>
        <v>5</v>
      </c>
      <c r="L217" s="76">
        <v>8</v>
      </c>
      <c r="M217" s="99">
        <f t="shared" si="142"/>
        <v>8</v>
      </c>
      <c r="N217" s="76">
        <v>5</v>
      </c>
      <c r="O217" s="99">
        <f t="shared" si="143"/>
        <v>5</v>
      </c>
      <c r="P217" s="88"/>
      <c r="Q217" s="94" t="s">
        <v>344</v>
      </c>
      <c r="R217" s="95">
        <f>2.88+0.05</f>
        <v>2.9299999999999997</v>
      </c>
      <c r="S217" s="95"/>
      <c r="T217" s="95"/>
      <c r="U217" s="95">
        <f t="shared" si="129"/>
        <v>2.9299999999999997</v>
      </c>
      <c r="V217" s="95">
        <v>0.05</v>
      </c>
      <c r="W217" s="95">
        <f t="shared" si="130"/>
        <v>3.0764999999999998</v>
      </c>
      <c r="X217" s="95">
        <v>0.5</v>
      </c>
      <c r="Y217" s="95">
        <v>0.7</v>
      </c>
    </row>
    <row r="218" spans="1:25" x14ac:dyDescent="0.2">
      <c r="A218" s="210" t="s">
        <v>584</v>
      </c>
      <c r="C218" s="116"/>
      <c r="D218" s="6" t="s">
        <v>187</v>
      </c>
      <c r="E218" s="12" t="s">
        <v>199</v>
      </c>
      <c r="F218" s="34">
        <f>+M218</f>
        <v>20</v>
      </c>
      <c r="G218" s="35">
        <f>+O218</f>
        <v>20</v>
      </c>
      <c r="H218" s="23">
        <v>20</v>
      </c>
      <c r="I218" s="24">
        <v>20</v>
      </c>
      <c r="J218" s="25">
        <v>20</v>
      </c>
      <c r="L218" s="76">
        <v>20</v>
      </c>
      <c r="M218" s="99">
        <f t="shared" si="142"/>
        <v>20</v>
      </c>
      <c r="N218" s="76">
        <v>20</v>
      </c>
      <c r="O218" s="99">
        <f t="shared" si="143"/>
        <v>20</v>
      </c>
      <c r="P218" s="88"/>
      <c r="Q218" s="94" t="s">
        <v>344</v>
      </c>
      <c r="R218" s="95">
        <v>20</v>
      </c>
      <c r="S218" s="95"/>
      <c r="T218" s="95"/>
      <c r="U218" s="95">
        <f t="shared" si="129"/>
        <v>20</v>
      </c>
      <c r="V218" s="95"/>
      <c r="W218" s="95">
        <f t="shared" si="130"/>
        <v>20</v>
      </c>
      <c r="X218" s="266">
        <f>-R1</f>
        <v>-0.08</v>
      </c>
      <c r="Y218" s="95"/>
    </row>
    <row r="219" spans="1:25" ht="21.75" customHeight="1" x14ac:dyDescent="0.2">
      <c r="A219" s="1"/>
      <c r="B219" s="273" t="s">
        <v>211</v>
      </c>
      <c r="C219" s="274"/>
      <c r="D219" s="274"/>
      <c r="E219" s="274"/>
      <c r="F219" s="274"/>
      <c r="G219" s="274"/>
      <c r="H219" s="274"/>
      <c r="I219" s="274"/>
      <c r="J219" s="274"/>
      <c r="L219" s="256"/>
      <c r="M219" s="257"/>
      <c r="N219" s="256"/>
      <c r="O219" s="180"/>
    </row>
  </sheetData>
  <autoFilter ref="B3:Y219" xr:uid="{5AC0DD5B-5F96-4D16-99A8-5CA61B26A8F5}"/>
  <sortState xmlns:xlrd2="http://schemas.microsoft.com/office/spreadsheetml/2017/richdata2" ref="B102:Y108">
    <sortCondition ref="B102:B108"/>
  </sortState>
  <mergeCells count="4">
    <mergeCell ref="B2:J2"/>
    <mergeCell ref="B112:J112"/>
    <mergeCell ref="B121:J121"/>
    <mergeCell ref="B219:J219"/>
  </mergeCells>
  <phoneticPr fontId="21" type="noConversion"/>
  <printOptions horizontalCentered="1" gridLines="1"/>
  <pageMargins left="0.15" right="0.15" top="0.6" bottom="0.15" header="0.15" footer="0.15"/>
  <pageSetup scale="89" fitToHeight="0" orientation="landscape" horizontalDpi="1200" verticalDpi="1200" r:id="rId1"/>
  <headerFooter>
    <oddHeader>&amp;C&amp;G</oddHeader>
    <oddFooter>&amp;RUpdated &amp;D</oddFooter>
  </headerFooter>
  <rowBreaks count="3" manualBreakCount="3">
    <brk id="73" min="1" max="8" man="1"/>
    <brk id="139" min="1" max="8" man="1"/>
    <brk id="190" min="1" max="8" man="1"/>
  </rowBreaks>
  <legacy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B77B-4262-46EE-9ED0-037A44BD24F6}">
  <sheetPr>
    <pageSetUpPr fitToPage="1"/>
  </sheetPr>
  <dimension ref="A1:J219"/>
  <sheetViews>
    <sheetView tabSelected="1" view="pageBreakPreview" zoomScaleNormal="100" zoomScaleSheetLayoutView="100" workbookViewId="0">
      <selection activeCell="K14" sqref="K14"/>
    </sheetView>
  </sheetViews>
  <sheetFormatPr defaultColWidth="9.140625" defaultRowHeight="12" x14ac:dyDescent="0.2"/>
  <cols>
    <col min="1" max="1" width="4.5703125" style="133" bestFit="1" customWidth="1"/>
    <col min="2" max="2" width="2" style="240" customWidth="1"/>
    <col min="3" max="3" width="36.7109375" style="135" customWidth="1"/>
    <col min="4" max="4" width="20" style="9" bestFit="1" customWidth="1"/>
    <col min="5" max="5" width="7.140625" style="9" customWidth="1"/>
    <col min="6" max="6" width="10.140625" style="143" customWidth="1"/>
    <col min="7" max="7" width="10.28515625" style="134" bestFit="1" customWidth="1"/>
    <col min="8" max="10" width="9.85546875" style="134" customWidth="1"/>
    <col min="11" max="16384" width="9.140625" style="1"/>
  </cols>
  <sheetData>
    <row r="1" spans="1:10" ht="12.75" thickBot="1" x14ac:dyDescent="0.25">
      <c r="A1" s="54"/>
      <c r="B1" s="241"/>
      <c r="F1" s="141"/>
      <c r="G1" s="132"/>
      <c r="H1" s="140"/>
      <c r="I1" s="140"/>
      <c r="J1" s="140"/>
    </row>
    <row r="2" spans="1:10" ht="23.25" customHeight="1" thickBot="1" x14ac:dyDescent="0.35">
      <c r="A2" s="280" t="s">
        <v>796</v>
      </c>
      <c r="B2" s="281"/>
      <c r="C2" s="282"/>
      <c r="D2" s="282"/>
      <c r="E2" s="282"/>
      <c r="F2" s="282"/>
      <c r="G2" s="282"/>
      <c r="H2" s="282"/>
      <c r="I2" s="282"/>
      <c r="J2" s="283"/>
    </row>
    <row r="3" spans="1:10" ht="45" x14ac:dyDescent="0.2">
      <c r="A3" s="165" t="s">
        <v>386</v>
      </c>
      <c r="B3" s="242"/>
      <c r="C3" s="166" t="s">
        <v>824</v>
      </c>
      <c r="D3" s="167" t="s">
        <v>389</v>
      </c>
      <c r="E3" s="168" t="s">
        <v>21</v>
      </c>
      <c r="F3" s="169" t="s">
        <v>0</v>
      </c>
      <c r="G3" s="170" t="s">
        <v>4</v>
      </c>
      <c r="H3" s="171" t="s">
        <v>1</v>
      </c>
      <c r="I3" s="172" t="s">
        <v>2</v>
      </c>
      <c r="J3" s="173" t="s">
        <v>3</v>
      </c>
    </row>
    <row r="4" spans="1:10" x14ac:dyDescent="0.2">
      <c r="A4" s="138"/>
      <c r="B4" s="243"/>
      <c r="C4" s="137" t="s">
        <v>6</v>
      </c>
      <c r="D4" s="114"/>
      <c r="E4" s="11"/>
      <c r="F4" s="142"/>
      <c r="G4" s="47"/>
      <c r="H4" s="47"/>
      <c r="I4" s="47"/>
      <c r="J4" s="47"/>
    </row>
    <row r="5" spans="1:10" ht="12" customHeight="1" x14ac:dyDescent="0.2">
      <c r="A5" s="57" t="str">
        <f>IF('2026'!B5="","",'2026'!B5)</f>
        <v>B1</v>
      </c>
      <c r="B5" s="239" t="str">
        <f>IF('2026'!C5="","",'2026'!C5)</f>
        <v/>
      </c>
      <c r="C5" s="139" t="str">
        <f>IF('2026'!D5="","",'2026'!D5)</f>
        <v>Weathered Limestone Boulders/Ledge</v>
      </c>
      <c r="D5" s="289" t="s">
        <v>438</v>
      </c>
      <c r="E5" s="57" t="str">
        <f>IF('2026'!E5="","",'2026'!E5)</f>
        <v>ton</v>
      </c>
      <c r="F5" s="152">
        <f>IF('2026'!F5="","",'2026'!F5)</f>
        <v>520</v>
      </c>
      <c r="G5" s="35">
        <f>IF('2026'!G5="","",'2026'!G5)</f>
        <v>371</v>
      </c>
      <c r="H5" s="23">
        <f>IF('2026'!H5="","",'2026'!H5)</f>
        <v>359.87</v>
      </c>
      <c r="I5" s="24">
        <f>IF('2026'!I5="","",'2026'!I5)</f>
        <v>352.45</v>
      </c>
      <c r="J5" s="25">
        <f>IF('2026'!J5="","",'2026'!J5)</f>
        <v>348.73999999999995</v>
      </c>
    </row>
    <row r="6" spans="1:10" x14ac:dyDescent="0.2">
      <c r="A6" s="57" t="str">
        <f>IF('2026'!B6="","",'2026'!B6)</f>
        <v>B2</v>
      </c>
      <c r="B6" s="239" t="str">
        <f>IF('2026'!C6="","",'2026'!C6)</f>
        <v/>
      </c>
      <c r="C6" s="139" t="str">
        <f>IF('2026'!D6="","",'2026'!D6)</f>
        <v>Mossy Mountain Boulders</v>
      </c>
      <c r="D6" s="290"/>
      <c r="E6" s="57" t="str">
        <f>IF('2026'!E6="","",'2026'!E6)</f>
        <v>ton</v>
      </c>
      <c r="F6" s="152">
        <f>IF('2026'!F6="","",'2026'!F6)</f>
        <v>463</v>
      </c>
      <c r="G6" s="35">
        <f>IF('2026'!G6="","",'2026'!G6)</f>
        <v>289</v>
      </c>
      <c r="H6" s="23">
        <f>IF('2026'!H6="","",'2026'!H6)</f>
        <v>280.33</v>
      </c>
      <c r="I6" s="24">
        <f>IF('2026'!I6="","",'2026'!I6)</f>
        <v>274.55</v>
      </c>
      <c r="J6" s="25">
        <f>IF('2026'!J6="","",'2026'!J6)</f>
        <v>271.65999999999997</v>
      </c>
    </row>
    <row r="7" spans="1:10" x14ac:dyDescent="0.2">
      <c r="A7" s="57" t="str">
        <f>IF('2026'!B7="","",'2026'!B7)</f>
        <v>B3</v>
      </c>
      <c r="B7" s="239" t="str">
        <f>IF('2026'!C7="","",'2026'!C7)</f>
        <v/>
      </c>
      <c r="C7" s="139" t="str">
        <f>IF('2026'!D7="","",'2026'!D7)</f>
        <v>Glacial Boulders</v>
      </c>
      <c r="D7" s="290"/>
      <c r="E7" s="57" t="str">
        <f>IF('2026'!E7="","",'2026'!E7)</f>
        <v>ton</v>
      </c>
      <c r="F7" s="152">
        <f>IF('2026'!F7="","",'2026'!F7)</f>
        <v>625</v>
      </c>
      <c r="G7" s="35">
        <f>IF('2026'!G7="","",'2026'!G7)</f>
        <v>463</v>
      </c>
      <c r="H7" s="23">
        <f>IF('2026'!H7="","",'2026'!H7)</f>
        <v>449.11</v>
      </c>
      <c r="I7" s="24">
        <f>IF('2026'!I7="","",'2026'!I7)</f>
        <v>439.84999999999997</v>
      </c>
      <c r="J7" s="25">
        <f>IF('2026'!J7="","",'2026'!J7)</f>
        <v>435.21999999999997</v>
      </c>
    </row>
    <row r="8" spans="1:10" x14ac:dyDescent="0.2">
      <c r="A8" s="57" t="str">
        <f>IF('2026'!B8="","",'2026'!B8)</f>
        <v>B4</v>
      </c>
      <c r="B8" s="239" t="str">
        <f>IF('2026'!C8="","",'2026'!C8)</f>
        <v/>
      </c>
      <c r="C8" s="139" t="str">
        <f>IF('2026'!D8="","",'2026'!D8)</f>
        <v>Cobalt Black Granite Boulders</v>
      </c>
      <c r="D8" s="290"/>
      <c r="E8" s="57" t="str">
        <f>IF('2026'!E8="","",'2026'!E8)</f>
        <v>ton</v>
      </c>
      <c r="F8" s="152">
        <f>IF('2026'!F8="","",'2026'!F8)</f>
        <v>462</v>
      </c>
      <c r="G8" s="35">
        <f>IF('2026'!G8="","",'2026'!G8)</f>
        <v>324</v>
      </c>
      <c r="H8" s="23">
        <f>IF('2026'!H8="","",'2026'!H8)</f>
        <v>314.27999999999997</v>
      </c>
      <c r="I8" s="24">
        <f>IF('2026'!I8="","",'2026'!I8)</f>
        <v>307.8</v>
      </c>
      <c r="J8" s="25">
        <f>IF('2026'!J8="","",'2026'!J8)</f>
        <v>304.56</v>
      </c>
    </row>
    <row r="9" spans="1:10" x14ac:dyDescent="0.2">
      <c r="A9" s="57" t="str">
        <f>IF('2026'!B9="","",'2026'!B9)</f>
        <v>B5</v>
      </c>
      <c r="B9" s="239" t="str">
        <f>IF('2026'!C9="","",'2026'!C9)</f>
        <v/>
      </c>
      <c r="C9" s="139" t="str">
        <f>IF('2026'!D9="","",'2026'!D9)</f>
        <v>Meridian Red Boulders</v>
      </c>
      <c r="D9" s="290"/>
      <c r="E9" s="57" t="str">
        <f>IF('2026'!E9="","",'2026'!E9)</f>
        <v>ton</v>
      </c>
      <c r="F9" s="152">
        <f>IF('2026'!F9="","",'2026'!F9)</f>
        <v>439</v>
      </c>
      <c r="G9" s="35">
        <f>IF('2026'!G9="","",'2026'!G9)</f>
        <v>275</v>
      </c>
      <c r="H9" s="23">
        <f>IF('2026'!H9="","",'2026'!H9)</f>
        <v>266.75</v>
      </c>
      <c r="I9" s="24">
        <f>IF('2026'!I9="","",'2026'!I9)</f>
        <v>261.25</v>
      </c>
      <c r="J9" s="25">
        <f>IF('2026'!J9="","",'2026'!J9)</f>
        <v>258.5</v>
      </c>
    </row>
    <row r="10" spans="1:10" x14ac:dyDescent="0.2">
      <c r="A10" s="57" t="str">
        <f>IF('2026'!B10="","",'2026'!B10)</f>
        <v>B6</v>
      </c>
      <c r="B10" s="239" t="str">
        <f>IF('2026'!C10="","",'2026'!C10)</f>
        <v/>
      </c>
      <c r="C10" s="139" t="str">
        <f>IF('2026'!D10="","",'2026'!D10)</f>
        <v>Colorado River Boulders</v>
      </c>
      <c r="D10" s="290"/>
      <c r="E10" s="57" t="str">
        <f>IF('2026'!E10="","",'2026'!E10)</f>
        <v>ton</v>
      </c>
      <c r="F10" s="152">
        <f>IF('2026'!F10="","",'2026'!F10)</f>
        <v>611</v>
      </c>
      <c r="G10" s="35">
        <f>IF('2026'!G10="","",'2026'!G10)</f>
        <v>382</v>
      </c>
      <c r="H10" s="23">
        <f>IF('2026'!H10="","",'2026'!H10)</f>
        <v>370.53999999999996</v>
      </c>
      <c r="I10" s="24">
        <f>IF('2026'!I10="","",'2026'!I10)</f>
        <v>362.9</v>
      </c>
      <c r="J10" s="25">
        <f>IF('2026'!J10="","",'2026'!J10)</f>
        <v>359.08</v>
      </c>
    </row>
    <row r="11" spans="1:10" x14ac:dyDescent="0.2">
      <c r="A11" s="57" t="str">
        <f>IF('2026'!B11="","",'2026'!B11)</f>
        <v>B7</v>
      </c>
      <c r="B11" s="239" t="str">
        <f>IF('2026'!C11="","",'2026'!C11)</f>
        <v/>
      </c>
      <c r="C11" s="139" t="str">
        <f>IF('2026'!D11="","",'2026'!D11)</f>
        <v>Starlight Boulders</v>
      </c>
      <c r="D11" s="291"/>
      <c r="E11" s="57" t="str">
        <f>IF('2026'!E11="","",'2026'!E11)</f>
        <v>ton</v>
      </c>
      <c r="F11" s="152">
        <f>IF('2026'!F11="","",'2026'!F11)</f>
        <v>586</v>
      </c>
      <c r="G11" s="35">
        <f>IF('2026'!G11="","",'2026'!G11)</f>
        <v>419</v>
      </c>
      <c r="H11" s="23">
        <f>IF('2026'!H11="","",'2026'!H11)</f>
        <v>406.43</v>
      </c>
      <c r="I11" s="24">
        <f>IF('2026'!I11="","",'2026'!I11)</f>
        <v>398.04999999999995</v>
      </c>
      <c r="J11" s="25">
        <f>IF('2026'!J11="","",'2026'!J11)</f>
        <v>393.85999999999996</v>
      </c>
    </row>
    <row r="12" spans="1:10" x14ac:dyDescent="0.2">
      <c r="A12" s="20"/>
      <c r="B12" s="49"/>
      <c r="C12" s="2" t="s">
        <v>20</v>
      </c>
      <c r="D12" s="20"/>
      <c r="E12" s="14"/>
      <c r="F12" s="48"/>
      <c r="G12" s="48"/>
      <c r="H12" s="48"/>
      <c r="I12" s="48"/>
      <c r="J12" s="48"/>
    </row>
    <row r="13" spans="1:10" x14ac:dyDescent="0.2">
      <c r="A13" s="57">
        <f>IF('2026'!B13="","",'2026'!B13)</f>
        <v>1</v>
      </c>
      <c r="B13" s="239" t="str">
        <f>IF('2026'!C13="","",'2026'!C13)</f>
        <v/>
      </c>
      <c r="C13" s="139" t="str">
        <f>IF('2026'!D13="","",'2026'!D13)</f>
        <v>Lanavac Gray Edging</v>
      </c>
      <c r="D13" s="147" t="s">
        <v>437</v>
      </c>
      <c r="E13" s="57" t="str">
        <f>IF('2026'!E13="","",'2026'!E13)</f>
        <v>ton</v>
      </c>
      <c r="F13" s="152">
        <f>IF('2026'!F13="","",'2026'!F13)</f>
        <v>510</v>
      </c>
      <c r="G13" s="35">
        <f>IF('2026'!G13="","",'2026'!G13)</f>
        <v>393</v>
      </c>
      <c r="H13" s="23">
        <f>IF('2026'!H13="","",'2026'!H13)</f>
        <v>381.21</v>
      </c>
      <c r="I13" s="24">
        <f>IF('2026'!I13="","",'2026'!I13)</f>
        <v>373.34999999999997</v>
      </c>
      <c r="J13" s="25">
        <f>IF('2026'!J13="","",'2026'!J13)</f>
        <v>369.41999999999996</v>
      </c>
    </row>
    <row r="14" spans="1:10" x14ac:dyDescent="0.2">
      <c r="A14" s="57">
        <f>IF('2026'!B14="","",'2026'!B14)</f>
        <v>2</v>
      </c>
      <c r="B14" s="239" t="str">
        <f>IF('2026'!C14="","",'2026'!C14)</f>
        <v/>
      </c>
      <c r="C14" s="139" t="str">
        <f>IF('2026'!D14="","",'2026'!D14)</f>
        <v>Blue-Brown Edging</v>
      </c>
      <c r="D14" s="147" t="s">
        <v>437</v>
      </c>
      <c r="E14" s="57" t="str">
        <f>IF('2026'!E14="","",'2026'!E14)</f>
        <v>ton</v>
      </c>
      <c r="F14" s="152">
        <f>IF('2026'!F14="","",'2026'!F14)</f>
        <v>501</v>
      </c>
      <c r="G14" s="35">
        <f>IF('2026'!G14="","",'2026'!G14)</f>
        <v>386</v>
      </c>
      <c r="H14" s="23">
        <f>IF('2026'!H14="","",'2026'!H14)</f>
        <v>374.42</v>
      </c>
      <c r="I14" s="24">
        <f>IF('2026'!I14="","",'2026'!I14)</f>
        <v>366.7</v>
      </c>
      <c r="J14" s="25">
        <f>IF('2026'!J14="","",'2026'!J14)</f>
        <v>362.84</v>
      </c>
    </row>
    <row r="15" spans="1:10" x14ac:dyDescent="0.2">
      <c r="A15" s="57">
        <f>IF('2026'!B15="","",'2026'!B15)</f>
        <v>3</v>
      </c>
      <c r="B15" s="239" t="str">
        <f>IF('2026'!C15="","",'2026'!C15)</f>
        <v/>
      </c>
      <c r="C15" s="139" t="str">
        <f>IF('2026'!D15="","",'2026'!D15)</f>
        <v>BHR Tumbled Edging</v>
      </c>
      <c r="D15" s="147" t="s">
        <v>437</v>
      </c>
      <c r="E15" s="57" t="str">
        <f>IF('2026'!E15="","",'2026'!E15)</f>
        <v>ton</v>
      </c>
      <c r="F15" s="152">
        <f>IF('2026'!F15="","",'2026'!F15)</f>
        <v>645</v>
      </c>
      <c r="G15" s="35">
        <f>IF('2026'!G15="","",'2026'!G15)</f>
        <v>496</v>
      </c>
      <c r="H15" s="23">
        <f>IF('2026'!H15="","",'2026'!H15)</f>
        <v>481.12</v>
      </c>
      <c r="I15" s="24">
        <f>IF('2026'!I15="","",'2026'!I15)</f>
        <v>471.2</v>
      </c>
      <c r="J15" s="25">
        <f>IF('2026'!J15="","",'2026'!J15)</f>
        <v>466.23999999999995</v>
      </c>
    </row>
    <row r="16" spans="1:10" x14ac:dyDescent="0.2">
      <c r="A16" s="57">
        <f>IF('2026'!B16="","",'2026'!B16)</f>
        <v>4</v>
      </c>
      <c r="B16" s="239" t="str">
        <f>IF('2026'!C16="","",'2026'!C16)</f>
        <v/>
      </c>
      <c r="C16" s="139" t="str">
        <f>IF('2026'!D16="","",'2026'!D16)</f>
        <v>Blackhills Rustic Edging</v>
      </c>
      <c r="D16" s="147" t="s">
        <v>437</v>
      </c>
      <c r="E16" s="57" t="str">
        <f>IF('2026'!E16="","",'2026'!E16)</f>
        <v>ton</v>
      </c>
      <c r="F16" s="152">
        <f>IF('2026'!F16="","",'2026'!F16)</f>
        <v>519</v>
      </c>
      <c r="G16" s="35">
        <f>IF('2026'!G16="","",'2026'!G16)</f>
        <v>400</v>
      </c>
      <c r="H16" s="23">
        <f>IF('2026'!H16="","",'2026'!H16)</f>
        <v>388</v>
      </c>
      <c r="I16" s="24">
        <f>IF('2026'!I16="","",'2026'!I16)</f>
        <v>380</v>
      </c>
      <c r="J16" s="25">
        <f>IF('2026'!J16="","",'2026'!J16)</f>
        <v>376</v>
      </c>
    </row>
    <row r="17" spans="1:10" x14ac:dyDescent="0.2">
      <c r="A17" s="57">
        <f>IF('2026'!B17="","",'2026'!B17)</f>
        <v>5</v>
      </c>
      <c r="B17" s="239" t="str">
        <f>IF('2026'!C17="","",'2026'!C17)</f>
        <v/>
      </c>
      <c r="C17" s="139" t="str">
        <f>IF('2026'!D17="","",'2026'!D17)</f>
        <v>Longhorn Ridge 4x4 Edging</v>
      </c>
      <c r="D17" s="147" t="s">
        <v>437</v>
      </c>
      <c r="E17" s="57" t="str">
        <f>IF('2026'!E17="","",'2026'!E17)</f>
        <v>ton</v>
      </c>
      <c r="F17" s="152">
        <f>IF('2026'!F17="","",'2026'!F17)</f>
        <v>498</v>
      </c>
      <c r="G17" s="35">
        <f>IF('2026'!G17="","",'2026'!G17)</f>
        <v>384</v>
      </c>
      <c r="H17" s="23">
        <f>IF('2026'!H17="","",'2026'!H17)</f>
        <v>372.48</v>
      </c>
      <c r="I17" s="24">
        <f>IF('2026'!I17="","",'2026'!I17)</f>
        <v>364.79999999999995</v>
      </c>
      <c r="J17" s="25">
        <f>IF('2026'!J17="","",'2026'!J17)</f>
        <v>360.96</v>
      </c>
    </row>
    <row r="18" spans="1:10" x14ac:dyDescent="0.2">
      <c r="A18" s="57">
        <f>IF('2026'!B18="","",'2026'!B18)</f>
        <v>6</v>
      </c>
      <c r="B18" s="239" t="str">
        <f>IF('2026'!C18="","",'2026'!C18)</f>
        <v/>
      </c>
      <c r="C18" s="139" t="str">
        <f>IF('2026'!D18="","",'2026'!D18)</f>
        <v>Silverdale 3.5"x4"</v>
      </c>
      <c r="D18" s="147" t="s">
        <v>437</v>
      </c>
      <c r="E18" s="57" t="str">
        <f>IF('2026'!E18="","",'2026'!E18)</f>
        <v>ton</v>
      </c>
      <c r="F18" s="152">
        <f>IF('2026'!F18="","",'2026'!F18)</f>
        <v>722</v>
      </c>
      <c r="G18" s="35">
        <f>IF('2026'!G18="","",'2026'!G18)</f>
        <v>488</v>
      </c>
      <c r="H18" s="23">
        <f>IF('2026'!H18="","",'2026'!H18)</f>
        <v>473.36</v>
      </c>
      <c r="I18" s="24">
        <f>IF('2026'!I18="","",'2026'!I18)</f>
        <v>463.59999999999997</v>
      </c>
      <c r="J18" s="25">
        <f>IF('2026'!J18="","",'2026'!J18)</f>
        <v>458.71999999999997</v>
      </c>
    </row>
    <row r="19" spans="1:10" x14ac:dyDescent="0.2">
      <c r="A19" s="57">
        <f>IF('2026'!B19="","",'2026'!B19)</f>
        <v>7</v>
      </c>
      <c r="B19" s="239" t="str">
        <f>IF('2026'!C19="","",'2026'!C19)</f>
        <v/>
      </c>
      <c r="C19" s="139" t="str">
        <f>IF('2026'!D19="","",'2026'!D19)</f>
        <v>Cottonwood Tumbled 3.5"x4"</v>
      </c>
      <c r="D19" s="147" t="s">
        <v>437</v>
      </c>
      <c r="E19" s="57" t="str">
        <f>IF('2026'!E19="","",'2026'!E19)</f>
        <v>ton</v>
      </c>
      <c r="F19" s="152">
        <f>IF('2026'!F19="","",'2026'!F19)</f>
        <v>734</v>
      </c>
      <c r="G19" s="35">
        <f>IF('2026'!G19="","",'2026'!G19)</f>
        <v>496</v>
      </c>
      <c r="H19" s="23">
        <f>IF('2026'!H19="","",'2026'!H19)</f>
        <v>481.12</v>
      </c>
      <c r="I19" s="24">
        <f>IF('2026'!I19="","",'2026'!I19)</f>
        <v>471.2</v>
      </c>
      <c r="J19" s="25">
        <f>IF('2026'!J19="","",'2026'!J19)</f>
        <v>466.23999999999995</v>
      </c>
    </row>
    <row r="20" spans="1:10" x14ac:dyDescent="0.2">
      <c r="A20" s="57">
        <f>IF('2026'!B20="","",'2026'!B20)</f>
        <v>8</v>
      </c>
      <c r="B20" s="239" t="str">
        <f>IF('2026'!C20="","",'2026'!C20)</f>
        <v/>
      </c>
      <c r="C20" s="139" t="str">
        <f>IF('2026'!D20="","",'2026'!D20)</f>
        <v>Gray Variegated 3.5"x4"</v>
      </c>
      <c r="D20" s="147" t="s">
        <v>437</v>
      </c>
      <c r="E20" s="57" t="s">
        <v>14</v>
      </c>
      <c r="F20" s="152">
        <f>IF('2026'!F20="","",'2026'!F20)</f>
        <v>755</v>
      </c>
      <c r="G20" s="35">
        <f>IF('2026'!G20="","",'2026'!G20)</f>
        <v>524</v>
      </c>
      <c r="H20" s="23">
        <f>IF('2026'!H20="","",'2026'!H20)</f>
        <v>508.28</v>
      </c>
      <c r="I20" s="24">
        <f>IF('2026'!I20="","",'2026'!I20)</f>
        <v>497.79999999999995</v>
      </c>
      <c r="J20" s="25">
        <f>IF('2026'!J20="","",'2026'!J20)</f>
        <v>492.55999999999995</v>
      </c>
    </row>
    <row r="21" spans="1:10" x14ac:dyDescent="0.2">
      <c r="A21" s="57">
        <f>IF('2026'!B21="","",'2026'!B21)</f>
        <v>9</v>
      </c>
      <c r="B21" s="239" t="str">
        <f>IF('2026'!C21="","",'2026'!C21)</f>
        <v/>
      </c>
      <c r="C21" s="139" t="str">
        <f>IF('2026'!D21="","",'2026'!D21)</f>
        <v>Kansas Cream Edging</v>
      </c>
      <c r="D21" s="147" t="s">
        <v>437</v>
      </c>
      <c r="E21" s="57" t="str">
        <f>IF('2026'!E21="","",'2026'!E21)</f>
        <v>ton</v>
      </c>
      <c r="F21" s="152">
        <f>IF('2026'!F21="","",'2026'!F21)</f>
        <v>726</v>
      </c>
      <c r="G21" s="35">
        <f>IF('2026'!G21="","",'2026'!G21)</f>
        <v>490</v>
      </c>
      <c r="H21" s="23">
        <f>IF('2026'!H21="","",'2026'!H21)</f>
        <v>475.3</v>
      </c>
      <c r="I21" s="24">
        <f>IF('2026'!I21="","",'2026'!I21)</f>
        <v>465.5</v>
      </c>
      <c r="J21" s="25">
        <f>IF('2026'!J21="","",'2026'!J21)</f>
        <v>460.59999999999997</v>
      </c>
    </row>
    <row r="22" spans="1:10" x14ac:dyDescent="0.2">
      <c r="A22" s="20"/>
      <c r="B22" s="49"/>
      <c r="C22" s="2" t="s">
        <v>28</v>
      </c>
      <c r="D22" s="20"/>
      <c r="E22" s="14"/>
      <c r="F22" s="48"/>
      <c r="G22" s="48"/>
      <c r="H22" s="48"/>
      <c r="I22" s="48"/>
      <c r="J22" s="48"/>
    </row>
    <row r="23" spans="1:10" x14ac:dyDescent="0.2">
      <c r="A23" s="57" t="str">
        <f>IF('2026'!B23="","",'2026'!B23)</f>
        <v/>
      </c>
      <c r="B23" s="239" t="str">
        <f>IF('2026'!C23="","",'2026'!C23)</f>
        <v/>
      </c>
      <c r="C23" s="139" t="str">
        <f>IF('2026'!D23="","",'2026'!D23)</f>
        <v>Polished Mexican Beach Pebbles (bagged)</v>
      </c>
      <c r="D23" s="146" t="s">
        <v>787</v>
      </c>
      <c r="E23" s="57" t="str">
        <f>IF('2026'!E23="","",'2026'!E23)</f>
        <v>bag</v>
      </c>
      <c r="F23" s="152">
        <f>IF('2026'!F23="","",'2026'!F23)</f>
        <v>50</v>
      </c>
      <c r="G23" s="35">
        <f>IF('2026'!G23="","",'2026'!G23)</f>
        <v>37</v>
      </c>
      <c r="H23" s="23">
        <f>IF('2026'!H23="","",'2026'!H23)</f>
        <v>35.89</v>
      </c>
      <c r="I23" s="24">
        <f>IF('2026'!I23="","",'2026'!I23)</f>
        <v>35.15</v>
      </c>
      <c r="J23" s="25">
        <f>IF('2026'!J23="","",'2026'!J23)</f>
        <v>34.78</v>
      </c>
    </row>
    <row r="24" spans="1:10" x14ac:dyDescent="0.2">
      <c r="A24" s="57">
        <f>IF('2026'!B24="","",'2026'!B24)</f>
        <v>10</v>
      </c>
      <c r="B24" s="239" t="str">
        <f>IF('2026'!C24="","",'2026'!C24)</f>
        <v/>
      </c>
      <c r="C24" s="139" t="str">
        <f>IF('2026'!D24="","",'2026'!D24)</f>
        <v>Mexican Beach Pebbles</v>
      </c>
      <c r="D24" s="146"/>
      <c r="E24" s="57" t="str">
        <f>IF('2026'!E24="","",'2026'!E24)</f>
        <v>ton</v>
      </c>
      <c r="F24" s="152">
        <f>IF('2026'!F24="","",'2026'!F24)</f>
        <v>968</v>
      </c>
      <c r="G24" s="35">
        <f>IF('2026'!G24="","",'2026'!G24)</f>
        <v>692</v>
      </c>
      <c r="H24" s="23">
        <f>IF('2026'!H24="","",'2026'!H24)</f>
        <v>671.24</v>
      </c>
      <c r="I24" s="24">
        <f>IF('2026'!I24="","",'2026'!I24)</f>
        <v>657.4</v>
      </c>
      <c r="J24" s="25">
        <f>IF('2026'!J24="","",'2026'!J24)</f>
        <v>650.48</v>
      </c>
    </row>
    <row r="25" spans="1:10" x14ac:dyDescent="0.2">
      <c r="A25" s="57">
        <f>IF('2026'!B25="","",'2026'!B25)</f>
        <v>11</v>
      </c>
      <c r="B25" s="239" t="str">
        <f>IF('2026'!C25="","",'2026'!C25)</f>
        <v/>
      </c>
      <c r="C25" s="139" t="str">
        <f>IF('2026'!D25="","",'2026'!D25)</f>
        <v>Kewanee Creek Flats 1-2" x 4-7"</v>
      </c>
      <c r="D25" s="146"/>
      <c r="E25" s="57" t="str">
        <f>IF('2026'!E25="","",'2026'!E25)</f>
        <v>ton</v>
      </c>
      <c r="F25" s="152">
        <f>IF('2026'!F25="","",'2026'!F25)</f>
        <v>891</v>
      </c>
      <c r="G25" s="35">
        <f>IF('2026'!G25="","",'2026'!G25)</f>
        <v>638</v>
      </c>
      <c r="H25" s="23">
        <f>IF('2026'!H25="","",'2026'!H25)</f>
        <v>618.86</v>
      </c>
      <c r="I25" s="24">
        <f>IF('2026'!I25="","",'2026'!I25)</f>
        <v>606.1</v>
      </c>
      <c r="J25" s="25">
        <f>IF('2026'!J25="","",'2026'!J25)</f>
        <v>599.71999999999991</v>
      </c>
    </row>
    <row r="26" spans="1:10" x14ac:dyDescent="0.2">
      <c r="A26" s="57">
        <f>IF('2026'!B26="","",'2026'!B26)</f>
        <v>12</v>
      </c>
      <c r="B26" s="239" t="str">
        <f>IF('2026'!C26="","",'2026'!C26)</f>
        <v/>
      </c>
      <c r="C26" s="139" t="str">
        <f>IF('2026'!D26="","",'2026'!D26)</f>
        <v>Kewanee Creek Flats 1-3" x 4-12"</v>
      </c>
      <c r="D26" s="146"/>
      <c r="E26" s="57" t="str">
        <f>IF('2026'!E26="","",'2026'!E26)</f>
        <v>ton</v>
      </c>
      <c r="F26" s="152">
        <f>IF('2026'!F26="","",'2026'!F26)</f>
        <v>793</v>
      </c>
      <c r="G26" s="35">
        <f>IF('2026'!G26="","",'2026'!G26)</f>
        <v>568</v>
      </c>
      <c r="H26" s="23">
        <f>IF('2026'!H26="","",'2026'!H26)</f>
        <v>550.96</v>
      </c>
      <c r="I26" s="24">
        <f>IF('2026'!I26="","",'2026'!I26)</f>
        <v>539.6</v>
      </c>
      <c r="J26" s="25">
        <f>IF('2026'!J26="","",'2026'!J26)</f>
        <v>533.91999999999996</v>
      </c>
    </row>
    <row r="27" spans="1:10" x14ac:dyDescent="0.2">
      <c r="A27" s="57">
        <f>IF('2026'!B27="","",'2026'!B27)</f>
        <v>13</v>
      </c>
      <c r="B27" s="239" t="str">
        <f>IF('2026'!C27="","",'2026'!C27)</f>
        <v/>
      </c>
      <c r="C27" s="139" t="str">
        <f>IF('2026'!D27="","",'2026'!D27)</f>
        <v>Mini Moss Boulders</v>
      </c>
      <c r="D27" s="146"/>
      <c r="E27" s="57" t="str">
        <f>IF('2026'!E27="","",'2026'!E27)</f>
        <v>ton</v>
      </c>
      <c r="F27" s="152">
        <f>IF('2026'!F27="","",'2026'!F27)</f>
        <v>426</v>
      </c>
      <c r="G27" s="35">
        <f>IF('2026'!G27="","",'2026'!G27)</f>
        <v>305</v>
      </c>
      <c r="H27" s="23">
        <f>IF('2026'!H27="","",'2026'!H27)</f>
        <v>295.84999999999997</v>
      </c>
      <c r="I27" s="24">
        <f>IF('2026'!I27="","",'2026'!I27)</f>
        <v>289.75</v>
      </c>
      <c r="J27" s="25">
        <f>IF('2026'!J27="","",'2026'!J27)</f>
        <v>286.7</v>
      </c>
    </row>
    <row r="28" spans="1:10" x14ac:dyDescent="0.2">
      <c r="A28" s="57">
        <f>IF('2026'!B28="","",'2026'!B28)</f>
        <v>14</v>
      </c>
      <c r="B28" s="239" t="str">
        <f>IF('2026'!C28="","",'2026'!C28)</f>
        <v/>
      </c>
      <c r="C28" s="139" t="str">
        <f>IF('2026'!D28="","",'2026'!D28)</f>
        <v>Cobalt Black Granite Cobbles 2-8"</v>
      </c>
      <c r="D28" s="146"/>
      <c r="E28" s="57" t="str">
        <f>IF('2026'!E28="","",'2026'!E28)</f>
        <v>ton</v>
      </c>
      <c r="F28" s="152">
        <f>IF('2026'!F28="","",'2026'!F28)</f>
        <v>833</v>
      </c>
      <c r="G28" s="35">
        <f>IF('2026'!G28="","",'2026'!G28)</f>
        <v>595</v>
      </c>
      <c r="H28" s="23">
        <f>IF('2026'!H28="","",'2026'!H28)</f>
        <v>577.15</v>
      </c>
      <c r="I28" s="24">
        <f>IF('2026'!I28="","",'2026'!I28)</f>
        <v>565.25</v>
      </c>
      <c r="J28" s="25">
        <f>IF('2026'!J28="","",'2026'!J28)</f>
        <v>559.29999999999995</v>
      </c>
    </row>
    <row r="29" spans="1:10" x14ac:dyDescent="0.2">
      <c r="A29" s="57">
        <f>IF('2026'!B29="","",'2026'!B29)</f>
        <v>15</v>
      </c>
      <c r="B29" s="239" t="str">
        <f>IF('2026'!C29="","",'2026'!C29)</f>
        <v/>
      </c>
      <c r="C29" s="139" t="str">
        <f>IF('2026'!D29="","",'2026'!D29)</f>
        <v>Mesa Grey</v>
      </c>
      <c r="D29" s="146"/>
      <c r="E29" s="57" t="str">
        <f>IF('2026'!E29="","",'2026'!E29)</f>
        <v>ton</v>
      </c>
      <c r="F29" s="152">
        <f>IF('2026'!F29="","",'2026'!F29)</f>
        <v>653</v>
      </c>
      <c r="G29" s="35">
        <f>IF('2026'!G29="","",'2026'!G29)</f>
        <v>344</v>
      </c>
      <c r="H29" s="23">
        <f>IF('2026'!H29="","",'2026'!H29)</f>
        <v>333.68</v>
      </c>
      <c r="I29" s="24">
        <f>IF('2026'!I29="","",'2026'!I29)</f>
        <v>326.8</v>
      </c>
      <c r="J29" s="25">
        <f>IF('2026'!J29="","",'2026'!J29)</f>
        <v>323.35999999999996</v>
      </c>
    </row>
    <row r="30" spans="1:10" x14ac:dyDescent="0.2">
      <c r="A30" s="20"/>
      <c r="B30" s="49"/>
      <c r="C30" s="2" t="s">
        <v>34</v>
      </c>
      <c r="D30" s="20"/>
      <c r="E30" s="14"/>
      <c r="F30" s="48"/>
      <c r="G30" s="48"/>
      <c r="H30" s="48"/>
      <c r="I30" s="48"/>
      <c r="J30" s="48"/>
    </row>
    <row r="31" spans="1:10" x14ac:dyDescent="0.2">
      <c r="A31" s="57">
        <f>IF('2026'!B31="","",'2026'!B31)</f>
        <v>16</v>
      </c>
      <c r="B31" s="239" t="str">
        <f>IF('2026'!C31="","",'2026'!C31)</f>
        <v/>
      </c>
      <c r="C31" s="139" t="str">
        <f>IF('2026'!D31="","",'2026'!D31)</f>
        <v>Longhorn Ridge 4x6 Chop</v>
      </c>
      <c r="D31" s="146" t="s">
        <v>361</v>
      </c>
      <c r="E31" s="57" t="str">
        <f>IF('2026'!E31="","",'2026'!E31)</f>
        <v>ton</v>
      </c>
      <c r="F31" s="152">
        <f>IF('2026'!F31="","",'2026'!F31)</f>
        <v>456</v>
      </c>
      <c r="G31" s="35">
        <f>IF('2026'!G31="","",'2026'!G31)</f>
        <v>339</v>
      </c>
      <c r="H31" s="23">
        <f>IF('2026'!H31="","",'2026'!H31)</f>
        <v>328.83</v>
      </c>
      <c r="I31" s="24">
        <f>IF('2026'!I31="","",'2026'!I31)</f>
        <v>322.05</v>
      </c>
      <c r="J31" s="25">
        <f>IF('2026'!J31="","",'2026'!J31)</f>
        <v>318.65999999999997</v>
      </c>
    </row>
    <row r="32" spans="1:10" x14ac:dyDescent="0.2">
      <c r="A32" s="57">
        <f>IF('2026'!B32="","",'2026'!B32)</f>
        <v>17</v>
      </c>
      <c r="B32" s="239" t="str">
        <f>IF('2026'!C32="","",'2026'!C32)</f>
        <v/>
      </c>
      <c r="C32" s="139" t="str">
        <f>IF('2026'!D32="","",'2026'!D32)</f>
        <v>Weathered Fieldstone</v>
      </c>
      <c r="D32" s="146" t="s">
        <v>362</v>
      </c>
      <c r="E32" s="57" t="str">
        <f>IF('2026'!E32="","",'2026'!E32)</f>
        <v>ton</v>
      </c>
      <c r="F32" s="152">
        <f>IF('2026'!F32="","",'2026'!F32)</f>
        <v>490</v>
      </c>
      <c r="G32" s="35">
        <f>IF('2026'!G32="","",'2026'!G32)</f>
        <v>350</v>
      </c>
      <c r="H32" s="23">
        <f>IF('2026'!H32="","",'2026'!H32)</f>
        <v>339.5</v>
      </c>
      <c r="I32" s="24">
        <f>IF('2026'!I32="","",'2026'!I32)</f>
        <v>332.5</v>
      </c>
      <c r="J32" s="25">
        <f>IF('2026'!J32="","",'2026'!J32)</f>
        <v>329</v>
      </c>
    </row>
    <row r="33" spans="1:10" x14ac:dyDescent="0.2">
      <c r="A33" s="57">
        <f>IF('2026'!B33="","",'2026'!B33)</f>
        <v>18</v>
      </c>
      <c r="B33" s="239" t="str">
        <f>IF('2026'!C33="","",'2026'!C33)</f>
        <v/>
      </c>
      <c r="C33" s="139" t="str">
        <f>IF('2026'!D33="","",'2026'!D33)</f>
        <v>Kansas Fieldstone</v>
      </c>
      <c r="D33" s="146" t="s">
        <v>362</v>
      </c>
      <c r="E33" s="57" t="str">
        <f>IF('2026'!E33="","",'2026'!E33)</f>
        <v>ton</v>
      </c>
      <c r="F33" s="152">
        <f>IF('2026'!F33="","",'2026'!F33)</f>
        <v>444</v>
      </c>
      <c r="G33" s="35">
        <f>IF('2026'!G33="","",'2026'!G33)</f>
        <v>319</v>
      </c>
      <c r="H33" s="23">
        <f>IF('2026'!H33="","",'2026'!H33)</f>
        <v>309.43</v>
      </c>
      <c r="I33" s="24">
        <f>IF('2026'!I33="","",'2026'!I33)</f>
        <v>303.05</v>
      </c>
      <c r="J33" s="25">
        <f>IF('2026'!J33="","",'2026'!J33)</f>
        <v>299.85999999999996</v>
      </c>
    </row>
    <row r="34" spans="1:10" x14ac:dyDescent="0.2">
      <c r="A34" s="57">
        <f>IF('2026'!B34="","",'2026'!B34)</f>
        <v>19</v>
      </c>
      <c r="B34" s="239" t="str">
        <f>IF('2026'!C34="","",'2026'!C34)</f>
        <v/>
      </c>
      <c r="C34" s="139" t="str">
        <f>IF('2026'!D34="","",'2026'!D34)</f>
        <v>EW Gold Random Wall</v>
      </c>
      <c r="D34" s="146" t="s">
        <v>362</v>
      </c>
      <c r="E34" s="57" t="str">
        <f>IF('2026'!E34="","",'2026'!E34)</f>
        <v>ton</v>
      </c>
      <c r="F34" s="152">
        <f>IF('2026'!F34="","",'2026'!F34)</f>
        <v>486</v>
      </c>
      <c r="G34" s="35">
        <f>IF('2026'!G34="","",'2026'!G34)</f>
        <v>347</v>
      </c>
      <c r="H34" s="23">
        <f>IF('2026'!H34="","",'2026'!H34)</f>
        <v>336.59</v>
      </c>
      <c r="I34" s="24">
        <f>IF('2026'!I34="","",'2026'!I34)</f>
        <v>329.65</v>
      </c>
      <c r="J34" s="25">
        <f>IF('2026'!J34="","",'2026'!J34)</f>
        <v>326.18</v>
      </c>
    </row>
    <row r="35" spans="1:10" x14ac:dyDescent="0.2">
      <c r="A35" s="57">
        <f>IF('2026'!B35="","",'2026'!B35)</f>
        <v>20</v>
      </c>
      <c r="B35" s="239" t="str">
        <f>IF('2026'!C35="","",'2026'!C35)</f>
        <v/>
      </c>
      <c r="C35" s="139" t="str">
        <f>IF('2026'!D35="","",'2026'!D35)</f>
        <v>Blackhill Rustic Builders</v>
      </c>
      <c r="D35" s="146" t="s">
        <v>363</v>
      </c>
      <c r="E35" s="57" t="str">
        <f>IF('2026'!E35="","",'2026'!E35)</f>
        <v>ton</v>
      </c>
      <c r="F35" s="152">
        <f>IF('2026'!F35="","",'2026'!F35)</f>
        <v>499</v>
      </c>
      <c r="G35" s="35">
        <f>IF('2026'!G35="","",'2026'!G35)</f>
        <v>370</v>
      </c>
      <c r="H35" s="23">
        <f>IF('2026'!H35="","",'2026'!H35)</f>
        <v>358.9</v>
      </c>
      <c r="I35" s="24">
        <f>IF('2026'!I35="","",'2026'!I35)</f>
        <v>351.5</v>
      </c>
      <c r="J35" s="25">
        <f>IF('2026'!J35="","",'2026'!J35)</f>
        <v>347.79999999999995</v>
      </c>
    </row>
    <row r="36" spans="1:10" x14ac:dyDescent="0.2">
      <c r="A36" s="57">
        <f>IF('2026'!B36="","",'2026'!B36)</f>
        <v>21</v>
      </c>
      <c r="B36" s="239" t="str">
        <f>IF('2026'!C36="","",'2026'!C36)</f>
        <v/>
      </c>
      <c r="C36" s="139" t="str">
        <f>IF('2026'!D36="","",'2026'!D36)</f>
        <v>Midwest Gray 6" Chop</v>
      </c>
      <c r="D36" s="146" t="s">
        <v>364</v>
      </c>
      <c r="E36" s="57" t="str">
        <f>IF('2026'!E36="","",'2026'!E36)</f>
        <v>ton</v>
      </c>
      <c r="F36" s="152">
        <f>IF('2026'!F36="","",'2026'!F36)</f>
        <v>523</v>
      </c>
      <c r="G36" s="35">
        <f>IF('2026'!G36="","",'2026'!G36)</f>
        <v>363</v>
      </c>
      <c r="H36" s="23">
        <f>IF('2026'!H36="","",'2026'!H36)</f>
        <v>352.11</v>
      </c>
      <c r="I36" s="24">
        <f>IF('2026'!I36="","",'2026'!I36)</f>
        <v>344.84999999999997</v>
      </c>
      <c r="J36" s="25">
        <f>IF('2026'!J36="","",'2026'!J36)</f>
        <v>341.21999999999997</v>
      </c>
    </row>
    <row r="37" spans="1:10" hidden="1" x14ac:dyDescent="0.2">
      <c r="A37" s="57" t="str">
        <f>IF('2026'!B37="","",'2026'!B37)</f>
        <v/>
      </c>
      <c r="B37" s="239" t="str">
        <f>IF('2026'!C37="","",'2026'!C37)</f>
        <v/>
      </c>
      <c r="C37" s="139" t="str">
        <f>IF('2026'!D37="","",'2026'!D37)</f>
        <v>Signature Wall</v>
      </c>
      <c r="D37" s="146" t="s">
        <v>364</v>
      </c>
      <c r="E37" s="57" t="str">
        <f>IF('2026'!E37="","",'2026'!E37)</f>
        <v>ton</v>
      </c>
      <c r="F37" s="152">
        <f>IF('2026'!F37="","",'2026'!F37)</f>
        <v>782</v>
      </c>
      <c r="G37" s="35">
        <f>IF('2026'!G37="","",'2026'!G37)</f>
        <v>641</v>
      </c>
      <c r="H37" s="23">
        <f>IF('2026'!H37="","",'2026'!H37)</f>
        <v>621.77</v>
      </c>
      <c r="I37" s="24">
        <f>IF('2026'!I37="","",'2026'!I37)</f>
        <v>608.94999999999993</v>
      </c>
      <c r="J37" s="25">
        <f>IF('2026'!J37="","",'2026'!J37)</f>
        <v>602.54</v>
      </c>
    </row>
    <row r="38" spans="1:10" x14ac:dyDescent="0.2">
      <c r="A38" s="57" t="str">
        <f>IF('2026'!B38="","",'2026'!B38)</f>
        <v/>
      </c>
      <c r="B38" s="239" t="str">
        <f>IF('2026'!C38="","",'2026'!C38)</f>
        <v/>
      </c>
      <c r="C38" s="139" t="str">
        <f>IF('2026'!D38="","",'2026'!D38)</f>
        <v>6" Wall Block</v>
      </c>
      <c r="D38" s="146" t="s">
        <v>366</v>
      </c>
      <c r="E38" s="57" t="str">
        <f>IF('2026'!E38="","",'2026'!E38)</f>
        <v>ton</v>
      </c>
      <c r="F38" s="152">
        <f>IF('2026'!F38="","",'2026'!F38)</f>
        <v>508</v>
      </c>
      <c r="G38" s="35">
        <f>IF('2026'!G38="","",'2026'!G38)</f>
        <v>320</v>
      </c>
      <c r="H38" s="23">
        <f>IF('2026'!H38="","",'2026'!H38)</f>
        <v>310.39999999999998</v>
      </c>
      <c r="I38" s="24">
        <f>IF('2026'!I38="","",'2026'!I38)</f>
        <v>304</v>
      </c>
      <c r="J38" s="25">
        <f>IF('2026'!J38="","",'2026'!J38)</f>
        <v>300.79999999999995</v>
      </c>
    </row>
    <row r="39" spans="1:10" x14ac:dyDescent="0.2">
      <c r="A39" s="57" t="str">
        <f>IF('2026'!B39="","",'2026'!B39)</f>
        <v/>
      </c>
      <c r="B39" s="239" t="str">
        <f>IF('2026'!C39="","",'2026'!C39)</f>
        <v/>
      </c>
      <c r="C39" s="139" t="str">
        <f>IF('2026'!D39="","",'2026'!D39)</f>
        <v>9" Wall Block</v>
      </c>
      <c r="D39" s="146" t="s">
        <v>365</v>
      </c>
      <c r="E39" s="57" t="str">
        <f>IF('2026'!E39="","",'2026'!E39)</f>
        <v>ton</v>
      </c>
      <c r="F39" s="152">
        <f>IF('2026'!F39="","",'2026'!F39)</f>
        <v>355</v>
      </c>
      <c r="G39" s="35">
        <f>IF('2026'!G39="","",'2026'!G39)</f>
        <v>245</v>
      </c>
      <c r="H39" s="23">
        <f>IF('2026'!H39="","",'2026'!H39)</f>
        <v>237.65</v>
      </c>
      <c r="I39" s="24">
        <f>IF('2026'!I39="","",'2026'!I39)</f>
        <v>232.75</v>
      </c>
      <c r="J39" s="25">
        <f>IF('2026'!J39="","",'2026'!J39)</f>
        <v>230.29999999999998</v>
      </c>
    </row>
    <row r="40" spans="1:10" x14ac:dyDescent="0.2">
      <c r="A40" s="57" t="str">
        <f>IF('2026'!B40="","",'2026'!B40)</f>
        <v/>
      </c>
      <c r="B40" s="239" t="str">
        <f>IF('2026'!C40="","",'2026'!C40)</f>
        <v/>
      </c>
      <c r="C40" s="139" t="str">
        <f>IF('2026'!D40="","",'2026'!D40)</f>
        <v>14" Wall Block</v>
      </c>
      <c r="D40" s="146" t="s">
        <v>367</v>
      </c>
      <c r="E40" s="57" t="str">
        <f>IF('2026'!E40="","",'2026'!E40)</f>
        <v>ton</v>
      </c>
      <c r="F40" s="152">
        <f>IF('2026'!F40="","",'2026'!F40)</f>
        <v>300</v>
      </c>
      <c r="G40" s="35">
        <f>IF('2026'!G40="","",'2026'!G40)</f>
        <v>207</v>
      </c>
      <c r="H40" s="23">
        <f>IF('2026'!H40="","",'2026'!H40)</f>
        <v>200.79</v>
      </c>
      <c r="I40" s="24">
        <f>IF('2026'!I40="","",'2026'!I40)</f>
        <v>196.64999999999998</v>
      </c>
      <c r="J40" s="25">
        <f>IF('2026'!J40="","",'2026'!J40)</f>
        <v>194.57999999999998</v>
      </c>
    </row>
    <row r="41" spans="1:10" x14ac:dyDescent="0.2">
      <c r="A41" s="57" t="str">
        <f>IF('2026'!B41="","",'2026'!B41)</f>
        <v/>
      </c>
      <c r="B41" s="239" t="str">
        <f>IF('2026'!C41="","",'2026'!C41)</f>
        <v/>
      </c>
      <c r="C41" s="139" t="str">
        <f>IF('2026'!D41="","",'2026'!D41)</f>
        <v>18" Wall Block</v>
      </c>
      <c r="D41" s="146" t="s">
        <v>784</v>
      </c>
      <c r="E41" s="57" t="str">
        <f>IF('2026'!E41="","",'2026'!E41)</f>
        <v>ton</v>
      </c>
      <c r="F41" s="152">
        <f>IF('2026'!F41="","",'2026'!F41)</f>
        <v>316</v>
      </c>
      <c r="G41" s="35">
        <f>IF('2026'!G41="","",'2026'!G41)</f>
        <v>218</v>
      </c>
      <c r="H41" s="23">
        <f>IF('2026'!H41="","",'2026'!H41)</f>
        <v>211.46</v>
      </c>
      <c r="I41" s="24">
        <f>IF('2026'!I41="","",'2026'!I41)</f>
        <v>207.1</v>
      </c>
      <c r="J41" s="25">
        <f>IF('2026'!J41="","",'2026'!J41)</f>
        <v>204.92</v>
      </c>
    </row>
    <row r="42" spans="1:10" x14ac:dyDescent="0.2">
      <c r="A42" s="57" t="str">
        <f>IF('2026'!B42="","",'2026'!B42)</f>
        <v/>
      </c>
      <c r="B42" s="239" t="str">
        <f>IF('2026'!C42="","",'2026'!C42)</f>
        <v/>
      </c>
      <c r="C42" s="139" t="str">
        <f>IF('2026'!D42="","",'2026'!D42)</f>
        <v>18" Wall Block Bench</v>
      </c>
      <c r="D42" s="146"/>
      <c r="E42" s="57" t="str">
        <f>IF('2026'!E42="","",'2026'!E42)</f>
        <v>each</v>
      </c>
      <c r="F42" s="152">
        <f>IF('2026'!F42="","",'2026'!F42)</f>
        <v>1998</v>
      </c>
      <c r="G42" s="35">
        <f>IF('2026'!G42="","",'2026'!G42)</f>
        <v>1738</v>
      </c>
      <c r="H42" s="23">
        <f>IF('2026'!H42="","",'2026'!H42)</f>
        <v>1685.86</v>
      </c>
      <c r="I42" s="24">
        <f>IF('2026'!I42="","",'2026'!I42)</f>
        <v>1651.1</v>
      </c>
      <c r="J42" s="25">
        <f>IF('2026'!J42="","",'2026'!J42)</f>
        <v>1633.7199999999998</v>
      </c>
    </row>
    <row r="43" spans="1:10" x14ac:dyDescent="0.2">
      <c r="A43" s="20"/>
      <c r="B43" s="49"/>
      <c r="C43" s="2" t="s">
        <v>43</v>
      </c>
      <c r="D43" s="20"/>
      <c r="E43" s="14"/>
      <c r="F43" s="48"/>
      <c r="G43" s="48"/>
      <c r="H43" s="48"/>
      <c r="I43" s="48"/>
      <c r="J43" s="48"/>
    </row>
    <row r="44" spans="1:10" x14ac:dyDescent="0.2">
      <c r="A44" s="57">
        <f>IF('2026'!B44="","",'2026'!B44)</f>
        <v>22</v>
      </c>
      <c r="B44" s="239" t="str">
        <f>IF('2026'!C44="","",'2026'!C44)</f>
        <v/>
      </c>
      <c r="C44" s="139" t="str">
        <f>IF('2026'!D44="","",'2026'!D44)</f>
        <v>Silverdale 3.5"x8"</v>
      </c>
      <c r="D44" s="146" t="s">
        <v>368</v>
      </c>
      <c r="E44" s="57" t="str">
        <f>IF('2026'!E44="","",'2026'!E44)</f>
        <v>ton</v>
      </c>
      <c r="F44" s="152">
        <f>IF('2026'!F44="","",'2026'!F44)</f>
        <v>627</v>
      </c>
      <c r="G44" s="35">
        <f>IF('2026'!G44="","",'2026'!G44)</f>
        <v>418</v>
      </c>
      <c r="H44" s="23">
        <f>IF('2026'!H44="","",'2026'!H44)</f>
        <v>405.46</v>
      </c>
      <c r="I44" s="24">
        <f>IF('2026'!I44="","",'2026'!I44)</f>
        <v>397.09999999999997</v>
      </c>
      <c r="J44" s="25">
        <f>IF('2026'!J44="","",'2026'!J44)</f>
        <v>392.91999999999996</v>
      </c>
    </row>
    <row r="45" spans="1:10" x14ac:dyDescent="0.2">
      <c r="A45" s="57">
        <f>IF('2026'!B45="","",'2026'!B45)</f>
        <v>23</v>
      </c>
      <c r="B45" s="239" t="str">
        <f>IF('2026'!C45="","",'2026'!C45)</f>
        <v/>
      </c>
      <c r="C45" s="139" t="str">
        <f>IF('2026'!D45="","",'2026'!D45)</f>
        <v>Silverdale 5"x9"</v>
      </c>
      <c r="D45" s="146" t="s">
        <v>369</v>
      </c>
      <c r="E45" s="57" t="str">
        <f>IF('2026'!E45="","",'2026'!E45)</f>
        <v>ton</v>
      </c>
      <c r="F45" s="152">
        <f>IF('2026'!F45="","",'2026'!F45)</f>
        <v>605</v>
      </c>
      <c r="G45" s="35">
        <f>IF('2026'!G45="","",'2026'!G45)</f>
        <v>403</v>
      </c>
      <c r="H45" s="23">
        <f>IF('2026'!H45="","",'2026'!H45)</f>
        <v>390.90999999999997</v>
      </c>
      <c r="I45" s="24">
        <f>IF('2026'!I45="","",'2026'!I45)</f>
        <v>382.84999999999997</v>
      </c>
      <c r="J45" s="25">
        <f>IF('2026'!J45="","",'2026'!J45)</f>
        <v>378.82</v>
      </c>
    </row>
    <row r="46" spans="1:10" x14ac:dyDescent="0.2">
      <c r="A46" s="57">
        <f>IF('2026'!B46="","",'2026'!B46)</f>
        <v>24</v>
      </c>
      <c r="B46" s="239" t="str">
        <f>IF('2026'!C46="","",'2026'!C46)</f>
        <v/>
      </c>
      <c r="C46" s="139" t="str">
        <f>IF('2026'!D46="","",'2026'!D46)</f>
        <v>Cottonwood Tumbled 3.5"x8"</v>
      </c>
      <c r="D46" s="146" t="s">
        <v>368</v>
      </c>
      <c r="E46" s="57" t="str">
        <f>IF('2026'!E46="","",'2026'!E46)</f>
        <v>ton</v>
      </c>
      <c r="F46" s="152">
        <f>IF('2026'!F46="","",'2026'!F46)</f>
        <v>639</v>
      </c>
      <c r="G46" s="35">
        <f>IF('2026'!G46="","",'2026'!G46)</f>
        <v>426</v>
      </c>
      <c r="H46" s="23">
        <f>IF('2026'!H46="","",'2026'!H46)</f>
        <v>413.21999999999997</v>
      </c>
      <c r="I46" s="24">
        <f>IF('2026'!I46="","",'2026'!I46)</f>
        <v>404.7</v>
      </c>
      <c r="J46" s="25">
        <f>IF('2026'!J46="","",'2026'!J46)</f>
        <v>400.44</v>
      </c>
    </row>
    <row r="47" spans="1:10" x14ac:dyDescent="0.2">
      <c r="A47" s="57">
        <f>IF('2026'!B47="","",'2026'!B47)</f>
        <v>25</v>
      </c>
      <c r="B47" s="239" t="str">
        <f>IF('2026'!C47="","",'2026'!C47)</f>
        <v/>
      </c>
      <c r="C47" s="139" t="str">
        <f>IF('2026'!D47="","",'2026'!D47)</f>
        <v>Cottonwood Tumbled 5"x9"</v>
      </c>
      <c r="D47" s="146" t="s">
        <v>369</v>
      </c>
      <c r="E47" s="57" t="str">
        <f>IF('2026'!E47="","",'2026'!E47)</f>
        <v>ton</v>
      </c>
      <c r="F47" s="152">
        <f>IF('2026'!F47="","",'2026'!F47)</f>
        <v>617</v>
      </c>
      <c r="G47" s="35">
        <f>IF('2026'!G47="","",'2026'!G47)</f>
        <v>411</v>
      </c>
      <c r="H47" s="23">
        <f>IF('2026'!H47="","",'2026'!H47)</f>
        <v>398.67</v>
      </c>
      <c r="I47" s="24">
        <f>IF('2026'!I47="","",'2026'!I47)</f>
        <v>390.45</v>
      </c>
      <c r="J47" s="25">
        <f>IF('2026'!J47="","",'2026'!J47)</f>
        <v>386.34</v>
      </c>
    </row>
    <row r="48" spans="1:10" x14ac:dyDescent="0.2">
      <c r="A48" s="57">
        <f>IF('2026'!B48="","",'2026'!B48)</f>
        <v>26</v>
      </c>
      <c r="B48" s="239" t="str">
        <f>IF('2026'!C48="","",'2026'!C48)</f>
        <v/>
      </c>
      <c r="C48" s="139" t="str">
        <f>IF('2026'!D48="","",'2026'!D48)</f>
        <v>Gray Variegated Tumbled 3.5" x 8"</v>
      </c>
      <c r="D48" s="146" t="s">
        <v>368</v>
      </c>
      <c r="E48" s="57" t="str">
        <f>IF('2026'!E48="","",'2026'!E48)</f>
        <v>ton</v>
      </c>
      <c r="F48" s="152">
        <f>IF('2026'!F48="","",'2026'!F48)</f>
        <v>692</v>
      </c>
      <c r="G48" s="35">
        <f>IF('2026'!G48="","",'2026'!G48)</f>
        <v>461</v>
      </c>
      <c r="H48" s="23">
        <f>IF('2026'!H48="","",'2026'!H48)</f>
        <v>447.17</v>
      </c>
      <c r="I48" s="24">
        <f>IF('2026'!I48="","",'2026'!I48)</f>
        <v>437.95</v>
      </c>
      <c r="J48" s="25">
        <f>IF('2026'!J48="","",'2026'!J48)</f>
        <v>433.34</v>
      </c>
    </row>
    <row r="49" spans="1:10" x14ac:dyDescent="0.2">
      <c r="A49" s="57">
        <f>IF('2026'!B49="","",'2026'!B49)</f>
        <v>27</v>
      </c>
      <c r="B49" s="239" t="str">
        <f>IF('2026'!C49="","",'2026'!C49)</f>
        <v/>
      </c>
      <c r="C49" s="139" t="str">
        <f>IF('2026'!D49="","",'2026'!D49)</f>
        <v>Gray Variegated Tumbled 5" x 9"</v>
      </c>
      <c r="D49" s="146" t="s">
        <v>369</v>
      </c>
      <c r="E49" s="57" t="str">
        <f>IF('2026'!E49="","",'2026'!E49)</f>
        <v>ton</v>
      </c>
      <c r="F49" s="152">
        <f>IF('2026'!F49="","",'2026'!F49)</f>
        <v>670</v>
      </c>
      <c r="G49" s="35">
        <f>IF('2026'!G49="","",'2026'!G49)</f>
        <v>447</v>
      </c>
      <c r="H49" s="23">
        <f>IF('2026'!H49="","",'2026'!H49)</f>
        <v>433.59</v>
      </c>
      <c r="I49" s="24">
        <f>IF('2026'!I49="","",'2026'!I49)</f>
        <v>424.65</v>
      </c>
      <c r="J49" s="25">
        <f>IF('2026'!J49="","",'2026'!J49)</f>
        <v>420.17999999999995</v>
      </c>
    </row>
    <row r="50" spans="1:10" x14ac:dyDescent="0.2">
      <c r="A50" s="20"/>
      <c r="B50" s="49"/>
      <c r="C50" s="2" t="s">
        <v>49</v>
      </c>
      <c r="D50" s="20"/>
      <c r="E50" s="14"/>
      <c r="F50" s="48"/>
      <c r="G50" s="48"/>
      <c r="H50" s="48"/>
      <c r="I50" s="48"/>
      <c r="J50" s="48"/>
    </row>
    <row r="51" spans="1:10" x14ac:dyDescent="0.2">
      <c r="A51" s="57">
        <f>IF('2026'!B51="","",'2026'!B51)</f>
        <v>28</v>
      </c>
      <c r="B51" s="239" t="str">
        <f>IF('2026'!C51="","",'2026'!C51)</f>
        <v/>
      </c>
      <c r="C51" s="139" t="str">
        <f>IF('2026'!D51="","",'2026'!D51)</f>
        <v>Blue-Brown 1.5"</v>
      </c>
      <c r="D51" s="146" t="s">
        <v>370</v>
      </c>
      <c r="E51" s="57" t="str">
        <f>IF('2026'!E51="","",'2026'!E51)</f>
        <v>ton</v>
      </c>
      <c r="F51" s="152">
        <f>IF('2026'!F51="","",'2026'!F51)</f>
        <v>494</v>
      </c>
      <c r="G51" s="35">
        <f>IF('2026'!G51="","",'2026'!G51)</f>
        <v>353</v>
      </c>
      <c r="H51" s="23">
        <f>IF('2026'!H51="","",'2026'!H51)</f>
        <v>342.40999999999997</v>
      </c>
      <c r="I51" s="24">
        <f>IF('2026'!I51="","",'2026'!I51)</f>
        <v>335.34999999999997</v>
      </c>
      <c r="J51" s="25">
        <f>IF('2026'!J51="","",'2026'!J51)</f>
        <v>331.82</v>
      </c>
    </row>
    <row r="52" spans="1:10" x14ac:dyDescent="0.2">
      <c r="A52" s="57">
        <f>IF('2026'!B52="","",'2026'!B52)</f>
        <v>29</v>
      </c>
      <c r="B52" s="239" t="str">
        <f>IF('2026'!C52="","",'2026'!C52)</f>
        <v/>
      </c>
      <c r="C52" s="139" t="str">
        <f>IF('2026'!D52="","",'2026'!D52)</f>
        <v>Blue-Brown 1.5" Premium</v>
      </c>
      <c r="D52" s="146" t="s">
        <v>370</v>
      </c>
      <c r="E52" s="57" t="str">
        <f>IF('2026'!E52="","",'2026'!E52)</f>
        <v>ton</v>
      </c>
      <c r="F52" s="152">
        <f>IF('2026'!F52="","",'2026'!F52)</f>
        <v>701</v>
      </c>
      <c r="G52" s="35">
        <f>IF('2026'!G52="","",'2026'!G52)</f>
        <v>501</v>
      </c>
      <c r="H52" s="23">
        <f>IF('2026'!H52="","",'2026'!H52)</f>
        <v>485.96999999999997</v>
      </c>
      <c r="I52" s="24">
        <f>IF('2026'!I52="","",'2026'!I52)</f>
        <v>475.95</v>
      </c>
      <c r="J52" s="25">
        <f>IF('2026'!J52="","",'2026'!J52)</f>
        <v>470.94</v>
      </c>
    </row>
    <row r="53" spans="1:10" x14ac:dyDescent="0.2">
      <c r="A53" s="57">
        <f>IF('2026'!B53="","",'2026'!B53)</f>
        <v>30</v>
      </c>
      <c r="B53" s="239" t="str">
        <f>IF('2026'!C53="","",'2026'!C53)</f>
        <v/>
      </c>
      <c r="C53" s="139" t="str">
        <f>IF('2026'!D53="","",'2026'!D53)</f>
        <v>Blue-Brown 2.5"</v>
      </c>
      <c r="D53" s="146" t="s">
        <v>371</v>
      </c>
      <c r="E53" s="57" t="str">
        <f>IF('2026'!E53="","",'2026'!E53)</f>
        <v>ton</v>
      </c>
      <c r="F53" s="152">
        <f>IF('2026'!F53="","",'2026'!F53)</f>
        <v>469</v>
      </c>
      <c r="G53" s="35">
        <f>IF('2026'!G53="","",'2026'!G53)</f>
        <v>335</v>
      </c>
      <c r="H53" s="23">
        <f>IF('2026'!H53="","",'2026'!H53)</f>
        <v>324.95</v>
      </c>
      <c r="I53" s="24">
        <f>IF('2026'!I53="","",'2026'!I53)</f>
        <v>318.25</v>
      </c>
      <c r="J53" s="25">
        <f>IF('2026'!J53="","",'2026'!J53)</f>
        <v>314.89999999999998</v>
      </c>
    </row>
    <row r="54" spans="1:10" x14ac:dyDescent="0.2">
      <c r="A54" s="57">
        <f>IF('2026'!B54="","",'2026'!B54)</f>
        <v>31</v>
      </c>
      <c r="B54" s="239" t="str">
        <f>IF('2026'!C54="","",'2026'!C54)</f>
        <v/>
      </c>
      <c r="C54" s="139" t="str">
        <f>IF('2026'!D54="","",'2026'!D54)</f>
        <v>Blue-Brown 2.5" Premium</v>
      </c>
      <c r="D54" s="146" t="s">
        <v>371</v>
      </c>
      <c r="E54" s="57" t="str">
        <f>IF('2026'!E54="","",'2026'!E54)</f>
        <v>ton</v>
      </c>
      <c r="F54" s="152">
        <f>IF('2026'!F54="","",'2026'!F54)</f>
        <v>675</v>
      </c>
      <c r="G54" s="35">
        <f>IF('2026'!G54="","",'2026'!G54)</f>
        <v>482</v>
      </c>
      <c r="H54" s="23">
        <f>IF('2026'!H54="","",'2026'!H54)</f>
        <v>467.53999999999996</v>
      </c>
      <c r="I54" s="24">
        <f>IF('2026'!I54="","",'2026'!I54)</f>
        <v>457.9</v>
      </c>
      <c r="J54" s="25">
        <f>IF('2026'!J54="","",'2026'!J54)</f>
        <v>453.08</v>
      </c>
    </row>
    <row r="55" spans="1:10" x14ac:dyDescent="0.2">
      <c r="A55" s="57">
        <f>IF('2026'!B55="","",'2026'!B55)</f>
        <v>32</v>
      </c>
      <c r="B55" s="239" t="str">
        <f>IF('2026'!C55="","",'2026'!C55)</f>
        <v/>
      </c>
      <c r="C55" s="139" t="str">
        <f>IF('2026'!D55="","",'2026'!D55)</f>
        <v>Lanavac Gray 1.5"</v>
      </c>
      <c r="D55" s="146" t="s">
        <v>370</v>
      </c>
      <c r="E55" s="57" t="str">
        <f>IF('2026'!E55="","",'2026'!E55)</f>
        <v>ton</v>
      </c>
      <c r="F55" s="152">
        <f>IF('2026'!F55="","",'2026'!F55)</f>
        <v>525</v>
      </c>
      <c r="G55" s="35">
        <f>IF('2026'!G55="","",'2026'!G55)</f>
        <v>375</v>
      </c>
      <c r="H55" s="23">
        <f>IF('2026'!H55="","",'2026'!H55)</f>
        <v>363.75</v>
      </c>
      <c r="I55" s="24">
        <f>IF('2026'!I55="","",'2026'!I55)</f>
        <v>356.25</v>
      </c>
      <c r="J55" s="25">
        <f>IF('2026'!J55="","",'2026'!J55)</f>
        <v>352.5</v>
      </c>
    </row>
    <row r="56" spans="1:10" x14ac:dyDescent="0.2">
      <c r="A56" s="57">
        <f>IF('2026'!B56="","",'2026'!B56)</f>
        <v>33</v>
      </c>
      <c r="B56" s="239" t="str">
        <f>IF('2026'!C56="","",'2026'!C56)</f>
        <v/>
      </c>
      <c r="C56" s="139" t="str">
        <f>IF('2026'!D56="","",'2026'!D56)</f>
        <v>Lanavac Gray 2.5"</v>
      </c>
      <c r="D56" s="146" t="s">
        <v>371</v>
      </c>
      <c r="E56" s="57" t="str">
        <f>IF('2026'!E56="","",'2026'!E56)</f>
        <v>ton</v>
      </c>
      <c r="F56" s="152">
        <f>IF('2026'!F56="","",'2026'!F56)</f>
        <v>498</v>
      </c>
      <c r="G56" s="35">
        <f>IF('2026'!G56="","",'2026'!G56)</f>
        <v>355</v>
      </c>
      <c r="H56" s="23">
        <f>IF('2026'!H56="","",'2026'!H56)</f>
        <v>344.34999999999997</v>
      </c>
      <c r="I56" s="24">
        <f>IF('2026'!I56="","",'2026'!I56)</f>
        <v>337.25</v>
      </c>
      <c r="J56" s="25">
        <f>IF('2026'!J56="","",'2026'!J56)</f>
        <v>333.7</v>
      </c>
    </row>
    <row r="57" spans="1:10" x14ac:dyDescent="0.2">
      <c r="A57" s="57">
        <f>IF('2026'!B57="","",'2026'!B57)</f>
        <v>34</v>
      </c>
      <c r="B57" s="239" t="str">
        <f>IF('2026'!C57="","",'2026'!C57)</f>
        <v/>
      </c>
      <c r="C57" s="139" t="str">
        <f>IF('2026'!D57="","",'2026'!D57)</f>
        <v xml:space="preserve">Lanavac Gray Premium </v>
      </c>
      <c r="D57" s="146" t="s">
        <v>371</v>
      </c>
      <c r="E57" s="57" t="str">
        <f>IF('2026'!E57="","",'2026'!E57)</f>
        <v>ton</v>
      </c>
      <c r="F57" s="152">
        <f>IF('2026'!F57="","",'2026'!F57)</f>
        <v>744</v>
      </c>
      <c r="G57" s="35">
        <f>IF('2026'!G57="","",'2026'!G57)</f>
        <v>531</v>
      </c>
      <c r="H57" s="23">
        <f>IF('2026'!H57="","",'2026'!H57)</f>
        <v>515.06999999999994</v>
      </c>
      <c r="I57" s="24">
        <f>IF('2026'!I57="","",'2026'!I57)</f>
        <v>504.45</v>
      </c>
      <c r="J57" s="25">
        <f>IF('2026'!J57="","",'2026'!J57)</f>
        <v>499.14</v>
      </c>
    </row>
    <row r="58" spans="1:10" x14ac:dyDescent="0.2">
      <c r="A58" s="57">
        <f>IF('2026'!B58="","",'2026'!B58)</f>
        <v>35</v>
      </c>
      <c r="B58" s="239" t="str">
        <f>IF('2026'!C58="","",'2026'!C58)</f>
        <v/>
      </c>
      <c r="C58" s="139" t="str">
        <f>IF('2026'!D58="","",'2026'!D58)</f>
        <v>Blackhills Rustic 1.5" Patio</v>
      </c>
      <c r="D58" s="146" t="s">
        <v>370</v>
      </c>
      <c r="E58" s="57" t="str">
        <f>IF('2026'!E58="","",'2026'!E58)</f>
        <v>ton</v>
      </c>
      <c r="F58" s="152">
        <f>IF('2026'!F58="","",'2026'!F58)</f>
        <v>563</v>
      </c>
      <c r="G58" s="35">
        <f>IF('2026'!G58="","",'2026'!G58)</f>
        <v>402</v>
      </c>
      <c r="H58" s="23">
        <f>IF('2026'!H58="","",'2026'!H58)</f>
        <v>389.94</v>
      </c>
      <c r="I58" s="24">
        <f>IF('2026'!I58="","",'2026'!I58)</f>
        <v>381.9</v>
      </c>
      <c r="J58" s="25">
        <f>IF('2026'!J58="","",'2026'!J58)</f>
        <v>377.88</v>
      </c>
    </row>
    <row r="59" spans="1:10" x14ac:dyDescent="0.2">
      <c r="A59" s="57">
        <f>IF('2026'!B59="","",'2026'!B59)</f>
        <v>36</v>
      </c>
      <c r="B59" s="239" t="str">
        <f>IF('2026'!C59="","",'2026'!C59)</f>
        <v/>
      </c>
      <c r="C59" s="139" t="str">
        <f>IF('2026'!D59="","",'2026'!D59)</f>
        <v>Blackhills Rustic 1.5" Premium</v>
      </c>
      <c r="D59" s="146" t="s">
        <v>370</v>
      </c>
      <c r="E59" s="57" t="str">
        <f>IF('2026'!E59="","",'2026'!E59)</f>
        <v>ton</v>
      </c>
      <c r="F59" s="152">
        <f>IF('2026'!F59="","",'2026'!F59)</f>
        <v>798</v>
      </c>
      <c r="G59" s="35">
        <f>IF('2026'!G59="","",'2026'!G59)</f>
        <v>570</v>
      </c>
      <c r="H59" s="23">
        <f>IF('2026'!H59="","",'2026'!H59)</f>
        <v>552.9</v>
      </c>
      <c r="I59" s="24">
        <f>IF('2026'!I59="","",'2026'!I59)</f>
        <v>541.5</v>
      </c>
      <c r="J59" s="25">
        <f>IF('2026'!J59="","",'2026'!J59)</f>
        <v>535.79999999999995</v>
      </c>
    </row>
    <row r="60" spans="1:10" x14ac:dyDescent="0.2">
      <c r="A60" s="57">
        <f>IF('2026'!B60="","",'2026'!B60)</f>
        <v>37</v>
      </c>
      <c r="B60" s="239" t="str">
        <f>IF('2026'!C60="","",'2026'!C60)</f>
        <v/>
      </c>
      <c r="C60" s="139" t="str">
        <f>IF('2026'!D60="","",'2026'!D60)</f>
        <v>Blackhills Rustic 2.5" Patio</v>
      </c>
      <c r="D60" s="146" t="s">
        <v>371</v>
      </c>
      <c r="E60" s="57" t="str">
        <f>IF('2026'!E60="","",'2026'!E60)</f>
        <v>ton</v>
      </c>
      <c r="F60" s="152">
        <f>IF('2026'!F60="","",'2026'!F60)</f>
        <v>534</v>
      </c>
      <c r="G60" s="35">
        <f>IF('2026'!G60="","",'2026'!G60)</f>
        <v>381</v>
      </c>
      <c r="H60" s="23">
        <f>IF('2026'!H60="","",'2026'!H60)</f>
        <v>369.57</v>
      </c>
      <c r="I60" s="24">
        <f>IF('2026'!I60="","",'2026'!I60)</f>
        <v>361.95</v>
      </c>
      <c r="J60" s="25">
        <f>IF('2026'!J60="","",'2026'!J60)</f>
        <v>358.14</v>
      </c>
    </row>
    <row r="61" spans="1:10" x14ac:dyDescent="0.2">
      <c r="A61" s="57">
        <f>IF('2026'!B61="","",'2026'!B61)</f>
        <v>38</v>
      </c>
      <c r="B61" s="239" t="str">
        <f>IF('2026'!C61="","",'2026'!C61)</f>
        <v/>
      </c>
      <c r="C61" s="139" t="str">
        <f>IF('2026'!D61="","",'2026'!D61)</f>
        <v>Blackhills Rustic 2.5" Premium</v>
      </c>
      <c r="D61" s="146" t="s">
        <v>371</v>
      </c>
      <c r="E61" s="57" t="str">
        <f>IF('2026'!E61="","",'2026'!E61)</f>
        <v>ton</v>
      </c>
      <c r="F61" s="152">
        <f>IF('2026'!F61="","",'2026'!F61)</f>
        <v>769</v>
      </c>
      <c r="G61" s="35">
        <f>IF('2026'!G61="","",'2026'!G61)</f>
        <v>549</v>
      </c>
      <c r="H61" s="23">
        <f>IF('2026'!H61="","",'2026'!H61)</f>
        <v>532.53</v>
      </c>
      <c r="I61" s="24">
        <f>IF('2026'!I61="","",'2026'!I61)</f>
        <v>521.54999999999995</v>
      </c>
      <c r="J61" s="25">
        <f>IF('2026'!J61="","",'2026'!J61)</f>
        <v>516.05999999999995</v>
      </c>
    </row>
    <row r="62" spans="1:10" x14ac:dyDescent="0.2">
      <c r="A62" s="57">
        <f>IF('2026'!B62="","",'2026'!B62)</f>
        <v>39</v>
      </c>
      <c r="B62" s="239" t="str">
        <f>IF('2026'!C62="","",'2026'!C62)</f>
        <v/>
      </c>
      <c r="C62" s="139" t="str">
        <f>IF('2026'!D62="","",'2026'!D62)</f>
        <v>Longhorn Ridge 1.5" Patio</v>
      </c>
      <c r="D62" s="146" t="s">
        <v>370</v>
      </c>
      <c r="E62" s="57" t="str">
        <f>IF('2026'!E62="","",'2026'!E62)</f>
        <v>ton</v>
      </c>
      <c r="F62" s="152">
        <f>IF('2026'!F62="","",'2026'!F62)</f>
        <v>533</v>
      </c>
      <c r="G62" s="35">
        <f>IF('2026'!G62="","",'2026'!G62)</f>
        <v>380</v>
      </c>
      <c r="H62" s="23">
        <f>IF('2026'!H62="","",'2026'!H62)</f>
        <v>368.59999999999997</v>
      </c>
      <c r="I62" s="24">
        <f>IF('2026'!I62="","",'2026'!I62)</f>
        <v>361</v>
      </c>
      <c r="J62" s="25">
        <f>IF('2026'!J62="","",'2026'!J62)</f>
        <v>357.2</v>
      </c>
    </row>
    <row r="63" spans="1:10" x14ac:dyDescent="0.2">
      <c r="A63" s="57">
        <f>IF('2026'!B63="","",'2026'!B63)</f>
        <v>40</v>
      </c>
      <c r="B63" s="239" t="str">
        <f>IF('2026'!C63="","",'2026'!C63)</f>
        <v/>
      </c>
      <c r="C63" s="139" t="str">
        <f>IF('2026'!D63="","",'2026'!D63)</f>
        <v>Longhorn Ridge 1.5" Premium</v>
      </c>
      <c r="D63" s="146" t="s">
        <v>370</v>
      </c>
      <c r="E63" s="57" t="str">
        <f>IF('2026'!E63="","",'2026'!E63)</f>
        <v>ton</v>
      </c>
      <c r="F63" s="152">
        <f>IF('2026'!F63="","",'2026'!F63)</f>
        <v>755</v>
      </c>
      <c r="G63" s="35">
        <f>IF('2026'!G63="","",'2026'!G63)</f>
        <v>539</v>
      </c>
      <c r="H63" s="23">
        <f>IF('2026'!H63="","",'2026'!H63)</f>
        <v>522.83000000000004</v>
      </c>
      <c r="I63" s="24">
        <f>IF('2026'!I63="","",'2026'!I63)</f>
        <v>512.04999999999995</v>
      </c>
      <c r="J63" s="25">
        <f>IF('2026'!J63="","",'2026'!J63)</f>
        <v>506.65999999999997</v>
      </c>
    </row>
    <row r="64" spans="1:10" x14ac:dyDescent="0.2">
      <c r="A64" s="57">
        <f>IF('2026'!B64="","",'2026'!B64)</f>
        <v>41</v>
      </c>
      <c r="B64" s="239" t="str">
        <f>IF('2026'!C64="","",'2026'!C64)</f>
        <v/>
      </c>
      <c r="C64" s="139" t="str">
        <f>IF('2026'!D64="","",'2026'!D64)</f>
        <v>Longhorn Ridge 2.5" Patio</v>
      </c>
      <c r="D64" s="146" t="s">
        <v>371</v>
      </c>
      <c r="E64" s="57" t="str">
        <f>IF('2026'!E64="","",'2026'!E64)</f>
        <v>ton</v>
      </c>
      <c r="F64" s="152">
        <f>IF('2026'!F64="","",'2026'!F64)</f>
        <v>505</v>
      </c>
      <c r="G64" s="35">
        <f>IF('2026'!G64="","",'2026'!G64)</f>
        <v>361</v>
      </c>
      <c r="H64" s="23">
        <f>IF('2026'!H64="","",'2026'!H64)</f>
        <v>350.17</v>
      </c>
      <c r="I64" s="24">
        <f>IF('2026'!I64="","",'2026'!I64)</f>
        <v>342.95</v>
      </c>
      <c r="J64" s="25">
        <f>IF('2026'!J64="","",'2026'!J64)</f>
        <v>339.34</v>
      </c>
    </row>
    <row r="65" spans="1:10" x14ac:dyDescent="0.2">
      <c r="A65" s="57">
        <f>IF('2026'!B65="","",'2026'!B65)</f>
        <v>42</v>
      </c>
      <c r="B65" s="239" t="str">
        <f>IF('2026'!C65="","",'2026'!C65)</f>
        <v/>
      </c>
      <c r="C65" s="139" t="str">
        <f>IF('2026'!D65="","",'2026'!D65)</f>
        <v>Longhorn Ridge 2.5 Premium</v>
      </c>
      <c r="D65" s="146" t="s">
        <v>371</v>
      </c>
      <c r="E65" s="57" t="str">
        <f>IF('2026'!E65="","",'2026'!E65)</f>
        <v>ton</v>
      </c>
      <c r="F65" s="152">
        <f>IF('2026'!F65="","",'2026'!F65)</f>
        <v>727</v>
      </c>
      <c r="G65" s="35">
        <f>IF('2026'!G65="","",'2026'!G65)</f>
        <v>519</v>
      </c>
      <c r="H65" s="23">
        <f>IF('2026'!H65="","",'2026'!H65)</f>
        <v>503.43</v>
      </c>
      <c r="I65" s="24">
        <f>IF('2026'!I65="","",'2026'!I65)</f>
        <v>493.04999999999995</v>
      </c>
      <c r="J65" s="25">
        <f>IF('2026'!J65="","",'2026'!J65)</f>
        <v>487.85999999999996</v>
      </c>
    </row>
    <row r="66" spans="1:10" x14ac:dyDescent="0.2">
      <c r="A66" s="57">
        <f>IF('2026'!B66="","",'2026'!B66)</f>
        <v>43</v>
      </c>
      <c r="B66" s="239" t="str">
        <f>IF('2026'!C66="","",'2026'!C66)</f>
        <v/>
      </c>
      <c r="C66" s="139" t="str">
        <f>IF('2026'!D66="","",'2026'!D66)</f>
        <v>KS Sawn Premium</v>
      </c>
      <c r="D66" s="146" t="s">
        <v>427</v>
      </c>
      <c r="E66" s="57" t="str">
        <f>IF('2026'!E66="","",'2026'!E66)</f>
        <v>ton</v>
      </c>
      <c r="F66" s="152">
        <f>IF('2026'!F66="","",'2026'!F66)</f>
        <v>818</v>
      </c>
      <c r="G66" s="35">
        <f>IF('2026'!G66="","",'2026'!G66)</f>
        <v>545</v>
      </c>
      <c r="H66" s="23">
        <f>IF('2026'!H66="","",'2026'!H66)</f>
        <v>528.65</v>
      </c>
      <c r="I66" s="24">
        <f>IF('2026'!I66="","",'2026'!I66)</f>
        <v>517.75</v>
      </c>
      <c r="J66" s="25">
        <f>IF('2026'!J66="","",'2026'!J66)</f>
        <v>512.29999999999995</v>
      </c>
    </row>
    <row r="67" spans="1:10" x14ac:dyDescent="0.2">
      <c r="A67" s="20"/>
      <c r="B67" s="49"/>
      <c r="C67" s="2" t="s">
        <v>66</v>
      </c>
      <c r="D67" s="20"/>
      <c r="E67" s="14"/>
      <c r="F67" s="48"/>
      <c r="G67" s="48"/>
      <c r="H67" s="48"/>
      <c r="I67" s="48"/>
      <c r="J67" s="48"/>
    </row>
    <row r="68" spans="1:10" x14ac:dyDescent="0.2">
      <c r="A68" s="57">
        <f>IF('2026'!B68="","",'2026'!B68)</f>
        <v>44</v>
      </c>
      <c r="B68" s="239" t="str">
        <f>IF('2026'!C68="","",'2026'!C68)</f>
        <v/>
      </c>
      <c r="C68" s="139" t="str">
        <f>IF('2026'!D68="","",'2026'!D68)</f>
        <v>Blackhills Rustic Chopped</v>
      </c>
      <c r="D68" s="146"/>
      <c r="E68" s="57" t="str">
        <f>IF('2026'!E68="","",'2026'!E68)</f>
        <v>each</v>
      </c>
      <c r="F68" s="152">
        <f>IF('2026'!F68="","",'2026'!F68)</f>
        <v>207</v>
      </c>
      <c r="G68" s="35">
        <f>IF('2026'!G68="","",'2026'!G68)</f>
        <v>154</v>
      </c>
      <c r="H68" s="23">
        <f>IF('2026'!H68="","",'2026'!H68)</f>
        <v>149.38</v>
      </c>
      <c r="I68" s="24">
        <f>IF('2026'!I68="","",'2026'!I68)</f>
        <v>146.29999999999998</v>
      </c>
      <c r="J68" s="25">
        <f>IF('2026'!J68="","",'2026'!J68)</f>
        <v>144.76</v>
      </c>
    </row>
    <row r="69" spans="1:10" x14ac:dyDescent="0.2">
      <c r="A69" s="57">
        <f>IF('2026'!B69="","",'2026'!B69)</f>
        <v>45</v>
      </c>
      <c r="B69" s="239" t="str">
        <f>IF('2026'!C69="","",'2026'!C69)</f>
        <v/>
      </c>
      <c r="C69" s="139" t="str">
        <f>IF('2026'!D69="","",'2026'!D69)</f>
        <v>Midwest Gray 7" Stair Tread</v>
      </c>
      <c r="D69" s="146"/>
      <c r="E69" s="57" t="str">
        <f>IF('2026'!E69="","",'2026'!E69)</f>
        <v>each</v>
      </c>
      <c r="F69" s="152">
        <f>IF('2026'!F69="","",'2026'!F69)</f>
        <v>193</v>
      </c>
      <c r="G69" s="35">
        <f>IF('2026'!G69="","",'2026'!G69)</f>
        <v>143</v>
      </c>
      <c r="H69" s="23">
        <f>IF('2026'!H69="","",'2026'!H69)</f>
        <v>138.71</v>
      </c>
      <c r="I69" s="24">
        <f>IF('2026'!I69="","",'2026'!I69)</f>
        <v>135.85</v>
      </c>
      <c r="J69" s="25">
        <f>IF('2026'!J69="","",'2026'!J69)</f>
        <v>134.41999999999999</v>
      </c>
    </row>
    <row r="70" spans="1:10" x14ac:dyDescent="0.2">
      <c r="A70" s="57">
        <f>IF('2026'!B70="","",'2026'!B70)</f>
        <v>46</v>
      </c>
      <c r="B70" s="239" t="str">
        <f>IF('2026'!C70="","",'2026'!C70)</f>
        <v/>
      </c>
      <c r="C70" s="139" t="str">
        <f>IF('2026'!D70="","",'2026'!D70)</f>
        <v>Cottonwood Stair Tread</v>
      </c>
      <c r="D70" s="146"/>
      <c r="E70" s="57" t="str">
        <f>IF('2026'!E70="","",'2026'!E70)</f>
        <v>each</v>
      </c>
      <c r="F70" s="152">
        <f>IF('2026'!F70="","",'2026'!F70)</f>
        <v>290</v>
      </c>
      <c r="G70" s="35">
        <f>IF('2026'!G70="","",'2026'!G70)</f>
        <v>217</v>
      </c>
      <c r="H70" s="23">
        <f>IF('2026'!H70="","",'2026'!H70)</f>
        <v>210.48999999999998</v>
      </c>
      <c r="I70" s="24">
        <f>IF('2026'!I70="","",'2026'!I70)</f>
        <v>206.14999999999998</v>
      </c>
      <c r="J70" s="25">
        <f>IF('2026'!J70="","",'2026'!J70)</f>
        <v>203.98</v>
      </c>
    </row>
    <row r="71" spans="1:10" x14ac:dyDescent="0.2">
      <c r="A71" s="20"/>
      <c r="B71" s="49"/>
      <c r="C71" s="2" t="s">
        <v>70</v>
      </c>
      <c r="D71" s="20"/>
      <c r="E71" s="14"/>
      <c r="F71" s="48"/>
      <c r="G71" s="50"/>
      <c r="H71" s="50"/>
      <c r="I71" s="50"/>
      <c r="J71" s="50"/>
    </row>
    <row r="72" spans="1:10" x14ac:dyDescent="0.2">
      <c r="A72" s="57" t="str">
        <f>IF('2026'!B72="","",'2026'!B72)</f>
        <v/>
      </c>
      <c r="B72" s="239" t="str">
        <f>IF('2026'!C72="","",'2026'!C72)</f>
        <v/>
      </c>
      <c r="C72" s="139" t="str">
        <f>IF('2026'!D72="","",'2026'!D72)</f>
        <v>Bulk Bag Fee</v>
      </c>
      <c r="D72" s="57"/>
      <c r="E72" s="57" t="str">
        <f>IF('2026'!E72="","",'2026'!E72)</f>
        <v>per bag</v>
      </c>
      <c r="F72" s="152">
        <f>IF('2026'!F72="","",'2026'!F72)</f>
        <v>30</v>
      </c>
      <c r="G72" s="35">
        <f>IF('2026'!G72="","",'2026'!G72)</f>
        <v>30</v>
      </c>
      <c r="H72" s="23">
        <f>IF('2026'!H72="","",'2026'!H72)</f>
        <v>30</v>
      </c>
      <c r="I72" s="24">
        <f>IF('2026'!I72="","",'2026'!I72)</f>
        <v>30</v>
      </c>
      <c r="J72" s="25">
        <f>IF('2026'!J72="","",'2026'!J72)</f>
        <v>30</v>
      </c>
    </row>
    <row r="73" spans="1:10" x14ac:dyDescent="0.2">
      <c r="A73" s="57" t="str">
        <f>IF('2026'!B73="","",'2026'!B73)</f>
        <v/>
      </c>
      <c r="B73" s="239" t="str">
        <f>IF('2026'!C73="","",'2026'!C73)</f>
        <v/>
      </c>
      <c r="C73" s="139" t="str">
        <f>IF('2026'!D73="","",'2026'!D73)</f>
        <v>Tote Bag</v>
      </c>
      <c r="D73" s="57"/>
      <c r="E73" s="57" t="str">
        <f>IF('2026'!E73="","",'2026'!E73)</f>
        <v>per bag</v>
      </c>
      <c r="F73" s="152">
        <f>IF('2026'!F73="","",'2026'!F73)</f>
        <v>5</v>
      </c>
      <c r="G73" s="35">
        <f>IF('2026'!G73="","",'2026'!G73)</f>
        <v>5</v>
      </c>
      <c r="H73" s="23">
        <f>IF('2026'!H73="","",'2026'!H73)</f>
        <v>5</v>
      </c>
      <c r="I73" s="24">
        <f>IF('2026'!I73="","",'2026'!I73)</f>
        <v>5</v>
      </c>
      <c r="J73" s="25">
        <f>IF('2026'!J73="","",'2026'!J73)</f>
        <v>5</v>
      </c>
    </row>
    <row r="74" spans="1:10" x14ac:dyDescent="0.2">
      <c r="A74" s="20"/>
      <c r="B74" s="49"/>
      <c r="C74" s="2" t="s">
        <v>73</v>
      </c>
      <c r="D74" s="20"/>
      <c r="E74" s="14"/>
      <c r="F74" s="48"/>
      <c r="G74" s="48"/>
      <c r="H74" s="48"/>
      <c r="I74" s="48"/>
      <c r="J74" s="48"/>
    </row>
    <row r="75" spans="1:10" x14ac:dyDescent="0.2">
      <c r="A75" s="57">
        <f>IF('2026'!B75="","",'2026'!B75)</f>
        <v>50</v>
      </c>
      <c r="B75" s="239" t="str">
        <f>IF('2026'!C75="","",'2026'!C75)</f>
        <v/>
      </c>
      <c r="C75" s="139" t="str">
        <f>IF('2026'!D75="","",'2026'!D75)</f>
        <v>1/4" Chip</v>
      </c>
      <c r="D75" s="289" t="s">
        <v>387</v>
      </c>
      <c r="E75" s="57" t="str">
        <f>IF('2026'!E75="","",'2026'!E75)</f>
        <v>ton</v>
      </c>
      <c r="F75" s="152">
        <f>IF('2026'!F75="","",'2026'!F75)</f>
        <v>111</v>
      </c>
      <c r="G75" s="35">
        <f>IF('2026'!G75="","",'2026'!G75)</f>
        <v>74</v>
      </c>
      <c r="H75" s="23">
        <f>IF('2026'!H75="","",'2026'!H75)</f>
        <v>71.78</v>
      </c>
      <c r="I75" s="24">
        <f>IF('2026'!I75="","",'2026'!I75)</f>
        <v>70.3</v>
      </c>
      <c r="J75" s="25">
        <f>IF('2026'!J75="","",'2026'!J75)</f>
        <v>69.56</v>
      </c>
    </row>
    <row r="76" spans="1:10" x14ac:dyDescent="0.2">
      <c r="A76" s="57">
        <f>IF('2026'!B76="","",'2026'!B76)</f>
        <v>51</v>
      </c>
      <c r="B76" s="239" t="str">
        <f>IF('2026'!C76="","",'2026'!C76)</f>
        <v/>
      </c>
      <c r="C76" s="139" t="str">
        <f>IF('2026'!D76="","",'2026'!D76)</f>
        <v>Masonry Sand</v>
      </c>
      <c r="D76" s="290"/>
      <c r="E76" s="57" t="str">
        <f>IF('2026'!E76="","",'2026'!E76)</f>
        <v>ton</v>
      </c>
      <c r="F76" s="152">
        <f>IF('2026'!F76="","",'2026'!F76)</f>
        <v>58</v>
      </c>
      <c r="G76" s="35">
        <f>IF('2026'!G76="","",'2026'!G76)</f>
        <v>40</v>
      </c>
      <c r="H76" s="23">
        <f>IF('2026'!H76="","",'2026'!H76)</f>
        <v>38.799999999999997</v>
      </c>
      <c r="I76" s="24">
        <f>IF('2026'!I76="","",'2026'!I76)</f>
        <v>38</v>
      </c>
      <c r="J76" s="25">
        <f>IF('2026'!J76="","",'2026'!J76)</f>
        <v>37.599999999999994</v>
      </c>
    </row>
    <row r="77" spans="1:10" x14ac:dyDescent="0.2">
      <c r="A77" s="57">
        <f>IF('2026'!B77="","",'2026'!B77)</f>
        <v>52</v>
      </c>
      <c r="B77" s="239" t="str">
        <f>IF('2026'!C77="","",'2026'!C77)</f>
        <v/>
      </c>
      <c r="C77" s="139" t="str">
        <f>IF('2026'!D77="","",'2026'!D77)</f>
        <v>Clean Fill Sand</v>
      </c>
      <c r="D77" s="290"/>
      <c r="E77" s="57" t="str">
        <f>IF('2026'!E77="","",'2026'!E77)</f>
        <v>ton</v>
      </c>
      <c r="F77" s="152">
        <f>IF('2026'!F77="","",'2026'!F77)</f>
        <v>58</v>
      </c>
      <c r="G77" s="35">
        <f>IF('2026'!G77="","",'2026'!G77)</f>
        <v>40</v>
      </c>
      <c r="H77" s="23">
        <f>IF('2026'!H77="","",'2026'!H77)</f>
        <v>38.799999999999997</v>
      </c>
      <c r="I77" s="24">
        <f>IF('2026'!I77="","",'2026'!I77)</f>
        <v>38</v>
      </c>
      <c r="J77" s="25">
        <f>IF('2026'!J77="","",'2026'!J77)</f>
        <v>37.599999999999994</v>
      </c>
    </row>
    <row r="78" spans="1:10" x14ac:dyDescent="0.2">
      <c r="A78" s="57">
        <f>IF('2026'!B78="","",'2026'!B78)</f>
        <v>53</v>
      </c>
      <c r="B78" s="239" t="str">
        <f>IF('2026'!C78="","",'2026'!C78)</f>
        <v/>
      </c>
      <c r="C78" s="139" t="str">
        <f>IF('2026'!D78="","",'2026'!D78)</f>
        <v>1.5" Washed Rock</v>
      </c>
      <c r="D78" s="290"/>
      <c r="E78" s="57" t="str">
        <f>IF('2026'!E78="","",'2026'!E78)</f>
        <v>ton</v>
      </c>
      <c r="F78" s="152">
        <f>IF('2026'!F78="","",'2026'!F78)</f>
        <v>70</v>
      </c>
      <c r="G78" s="35">
        <f>IF('2026'!G78="","",'2026'!G78)</f>
        <v>50</v>
      </c>
      <c r="H78" s="23">
        <f>IF('2026'!H78="","",'2026'!H78)</f>
        <v>48.5</v>
      </c>
      <c r="I78" s="24">
        <f>IF('2026'!I78="","",'2026'!I78)</f>
        <v>47.5</v>
      </c>
      <c r="J78" s="25">
        <f>IF('2026'!J78="","",'2026'!J78)</f>
        <v>47</v>
      </c>
    </row>
    <row r="79" spans="1:10" x14ac:dyDescent="0.2">
      <c r="A79" s="57">
        <f>IF('2026'!B79="","",'2026'!B79)</f>
        <v>54</v>
      </c>
      <c r="B79" s="239" t="str">
        <f>IF('2026'!C79="","",'2026'!C79)</f>
        <v/>
      </c>
      <c r="C79" s="139" t="str">
        <f>IF('2026'!D79="","",'2026'!D79)</f>
        <v>3/4" Washed Rock</v>
      </c>
      <c r="D79" s="290"/>
      <c r="E79" s="57" t="str">
        <f>IF('2026'!E79="","",'2026'!E79)</f>
        <v>ton</v>
      </c>
      <c r="F79" s="152">
        <f>IF('2026'!F79="","",'2026'!F79)</f>
        <v>70</v>
      </c>
      <c r="G79" s="35">
        <f>IF('2026'!G79="","",'2026'!G79)</f>
        <v>50</v>
      </c>
      <c r="H79" s="23">
        <f>IF('2026'!H79="","",'2026'!H79)</f>
        <v>48.5</v>
      </c>
      <c r="I79" s="24">
        <f>IF('2026'!I79="","",'2026'!I79)</f>
        <v>47.5</v>
      </c>
      <c r="J79" s="25">
        <f>IF('2026'!J79="","",'2026'!J79)</f>
        <v>47</v>
      </c>
    </row>
    <row r="80" spans="1:10" x14ac:dyDescent="0.2">
      <c r="A80" s="57">
        <f>IF('2026'!B80="","",'2026'!B80)</f>
        <v>55</v>
      </c>
      <c r="B80" s="239" t="str">
        <f>IF('2026'!C80="","",'2026'!C80)</f>
        <v/>
      </c>
      <c r="C80" s="139" t="str">
        <f>IF('2026'!D80="","",'2026'!D80)</f>
        <v>Pit Fines</v>
      </c>
      <c r="D80" s="290"/>
      <c r="E80" s="57" t="str">
        <f>IF('2026'!E80="","",'2026'!E80)</f>
        <v>ton</v>
      </c>
      <c r="F80" s="152">
        <f>IF('2026'!F80="","",'2026'!F80)</f>
        <v>50</v>
      </c>
      <c r="G80" s="35">
        <f>IF('2026'!G80="","",'2026'!G80)</f>
        <v>30</v>
      </c>
      <c r="H80" s="23">
        <f>IF('2026'!H80="","",'2026'!H80)</f>
        <v>29.099999999999998</v>
      </c>
      <c r="I80" s="24">
        <f>IF('2026'!I80="","",'2026'!I80)</f>
        <v>28.5</v>
      </c>
      <c r="J80" s="25">
        <f>IF('2026'!J80="","",'2026'!J80)</f>
        <v>28.2</v>
      </c>
    </row>
    <row r="81" spans="1:10" x14ac:dyDescent="0.2">
      <c r="A81" s="57">
        <f>IF('2026'!B81="","",'2026'!B81)</f>
        <v>56</v>
      </c>
      <c r="B81" s="239" t="str">
        <f>IF('2026'!C81="","",'2026'!C81)</f>
        <v/>
      </c>
      <c r="C81" s="139" t="str">
        <f>IF('2026'!D81="","",'2026'!D81)</f>
        <v>AB3</v>
      </c>
      <c r="D81" s="290"/>
      <c r="E81" s="57" t="str">
        <f>IF('2026'!E81="","",'2026'!E81)</f>
        <v>ton</v>
      </c>
      <c r="F81" s="152">
        <f>IF('2026'!F81="","",'2026'!F81)</f>
        <v>60</v>
      </c>
      <c r="G81" s="35">
        <f>IF('2026'!G81="","",'2026'!G81)</f>
        <v>40</v>
      </c>
      <c r="H81" s="23">
        <f>IF('2026'!H81="","",'2026'!H81)</f>
        <v>38.799999999999997</v>
      </c>
      <c r="I81" s="24">
        <f>IF('2026'!I81="","",'2026'!I81)</f>
        <v>38</v>
      </c>
      <c r="J81" s="25">
        <f>IF('2026'!J81="","",'2026'!J81)</f>
        <v>37.599999999999994</v>
      </c>
    </row>
    <row r="82" spans="1:10" x14ac:dyDescent="0.2">
      <c r="A82" s="57" t="str">
        <f>IF('2026'!B82="","",'2026'!B82)</f>
        <v/>
      </c>
      <c r="B82" s="239" t="str">
        <f>IF('2026'!C82="","",'2026'!C82)</f>
        <v/>
      </c>
      <c r="C82" s="139" t="str">
        <f>IF('2026'!D82="","",'2026'!D82)</f>
        <v>Ditch Rock 3-6"</v>
      </c>
      <c r="D82" s="291"/>
      <c r="E82" s="57" t="str">
        <f>IF('2026'!E82="","",'2026'!E82)</f>
        <v>ton</v>
      </c>
      <c r="F82" s="152">
        <f>IF('2026'!F82="","",'2026'!F82)</f>
        <v>120</v>
      </c>
      <c r="G82" s="35">
        <f>IF('2026'!G82="","",'2026'!G82)</f>
        <v>80</v>
      </c>
      <c r="H82" s="23">
        <f>IF('2026'!H82="","",'2026'!H82)</f>
        <v>77.599999999999994</v>
      </c>
      <c r="I82" s="24">
        <f>IF('2026'!I82="","",'2026'!I82)</f>
        <v>76</v>
      </c>
      <c r="J82" s="25">
        <f>IF('2026'!J82="","",'2026'!J82)</f>
        <v>75.199999999999989</v>
      </c>
    </row>
    <row r="83" spans="1:10" x14ac:dyDescent="0.2">
      <c r="A83" s="20"/>
      <c r="B83" s="49"/>
      <c r="C83" s="2" t="s">
        <v>82</v>
      </c>
      <c r="D83" s="20"/>
      <c r="E83" s="14"/>
      <c r="F83" s="48"/>
      <c r="G83" s="48"/>
      <c r="H83" s="48"/>
      <c r="I83" s="48"/>
      <c r="J83" s="48"/>
    </row>
    <row r="84" spans="1:10" x14ac:dyDescent="0.2">
      <c r="A84" s="57">
        <f>IF('2026'!B84="","",'2026'!B84)</f>
        <v>57</v>
      </c>
      <c r="B84" s="239" t="str">
        <f>IF('2026'!C84="","",'2026'!C84)</f>
        <v/>
      </c>
      <c r="C84" s="139" t="str">
        <f>IF('2026'!D84="","",'2026'!D84)</f>
        <v>Salt &amp; Pepper 1.5"</v>
      </c>
      <c r="D84" s="147" t="s">
        <v>372</v>
      </c>
      <c r="E84" s="57" t="str">
        <f>IF('2026'!E84="","",'2026'!E84)</f>
        <v>ton</v>
      </c>
      <c r="F84" s="152">
        <f>IF('2026'!F84="","",'2026'!F84)</f>
        <v>385</v>
      </c>
      <c r="G84" s="35">
        <f>IF('2026'!G84="","",'2026'!G84)</f>
        <v>257</v>
      </c>
      <c r="H84" s="23">
        <f>IF('2026'!H84="","",'2026'!H84)</f>
        <v>249.29</v>
      </c>
      <c r="I84" s="24">
        <f>IF('2026'!I84="","",'2026'!I84)</f>
        <v>244.14999999999998</v>
      </c>
      <c r="J84" s="25">
        <f>IF('2026'!J84="","",'2026'!J84)</f>
        <v>241.57999999999998</v>
      </c>
    </row>
    <row r="85" spans="1:10" x14ac:dyDescent="0.2">
      <c r="A85" s="57">
        <f>IF('2026'!B85="","",'2026'!B85)</f>
        <v>58</v>
      </c>
      <c r="B85" s="239" t="str">
        <f>IF('2026'!C85="","",'2026'!C85)</f>
        <v/>
      </c>
      <c r="C85" s="139" t="str">
        <f>IF('2026'!D85="","",'2026'!D85)</f>
        <v>Kansas Pea Gravel</v>
      </c>
      <c r="D85" s="147" t="s">
        <v>373</v>
      </c>
      <c r="E85" s="57" t="str">
        <f>IF('2026'!E85="","",'2026'!E85)</f>
        <v>ton</v>
      </c>
      <c r="F85" s="152">
        <f>IF('2026'!F85="","",'2026'!F85)</f>
        <v>97</v>
      </c>
      <c r="G85" s="35">
        <f>IF('2026'!G85="","",'2026'!G85)</f>
        <v>69</v>
      </c>
      <c r="H85" s="23">
        <f>IF('2026'!H85="","",'2026'!H85)</f>
        <v>66.929999999999993</v>
      </c>
      <c r="I85" s="24">
        <f>IF('2026'!I85="","",'2026'!I85)</f>
        <v>65.55</v>
      </c>
      <c r="J85" s="25">
        <f>IF('2026'!J85="","",'2026'!J85)</f>
        <v>64.86</v>
      </c>
    </row>
    <row r="86" spans="1:10" x14ac:dyDescent="0.2">
      <c r="A86" s="57">
        <f>IF('2026'!B86="","",'2026'!B86)</f>
        <v>59</v>
      </c>
      <c r="B86" s="239" t="str">
        <f>IF('2026'!C86="","",'2026'!C86)</f>
        <v/>
      </c>
      <c r="C86" s="139" t="str">
        <f>IF('2026'!D86="","",'2026'!D86)</f>
        <v>Kansas River Rock 1.5"</v>
      </c>
      <c r="D86" s="147" t="s">
        <v>372</v>
      </c>
      <c r="E86" s="57" t="str">
        <f>IF('2026'!E86="","",'2026'!E86)</f>
        <v>ton</v>
      </c>
      <c r="F86" s="152">
        <f>IF('2026'!F86="","",'2026'!F86)</f>
        <v>121</v>
      </c>
      <c r="G86" s="35">
        <f>IF('2026'!G86="","",'2026'!G86)</f>
        <v>88</v>
      </c>
      <c r="H86" s="23">
        <f>IF('2026'!H86="","",'2026'!H86)</f>
        <v>85.36</v>
      </c>
      <c r="I86" s="24">
        <f>IF('2026'!I86="","",'2026'!I86)</f>
        <v>83.6</v>
      </c>
      <c r="J86" s="25">
        <f>IF('2026'!J86="","",'2026'!J86)</f>
        <v>82.72</v>
      </c>
    </row>
    <row r="87" spans="1:10" x14ac:dyDescent="0.2">
      <c r="A87" s="57">
        <f>IF('2026'!B87="","",'2026'!B87)</f>
        <v>60</v>
      </c>
      <c r="B87" s="239" t="str">
        <f>IF('2026'!C87="","",'2026'!C87)</f>
        <v/>
      </c>
      <c r="C87" s="139" t="str">
        <f>IF('2026'!D87="","",'2026'!D87)</f>
        <v>Kansas Large River Rock</v>
      </c>
      <c r="D87" s="147" t="s">
        <v>374</v>
      </c>
      <c r="E87" s="57" t="str">
        <f>IF('2026'!E87="","",'2026'!E87)</f>
        <v>ton</v>
      </c>
      <c r="F87" s="152">
        <f>IF('2026'!F87="","",'2026'!F87)</f>
        <v>178</v>
      </c>
      <c r="G87" s="35">
        <f>IF('2026'!G87="","",'2026'!G87)</f>
        <v>132</v>
      </c>
      <c r="H87" s="23">
        <f>IF('2026'!H87="","",'2026'!H87)</f>
        <v>128.04</v>
      </c>
      <c r="I87" s="24">
        <f>IF('2026'!I87="","",'2026'!I87)</f>
        <v>125.39999999999999</v>
      </c>
      <c r="J87" s="25">
        <f>IF('2026'!J87="","",'2026'!J87)</f>
        <v>124.08</v>
      </c>
    </row>
    <row r="88" spans="1:10" x14ac:dyDescent="0.2">
      <c r="A88" s="57">
        <f>IF('2026'!B88="","",'2026'!B88)</f>
        <v>61</v>
      </c>
      <c r="B88" s="239" t="str">
        <f>IF('2026'!C88="","",'2026'!C88)</f>
        <v/>
      </c>
      <c r="C88" s="139" t="str">
        <f>IF('2026'!D88="","",'2026'!D88)</f>
        <v>Cobalt Black 1"</v>
      </c>
      <c r="D88" s="147" t="s">
        <v>373</v>
      </c>
      <c r="E88" s="57" t="str">
        <f>IF('2026'!E88="","",'2026'!E88)</f>
        <v>ton</v>
      </c>
      <c r="F88" s="152">
        <f>IF('2026'!F88="","",'2026'!F88)</f>
        <v>350</v>
      </c>
      <c r="G88" s="35">
        <f>IF('2026'!G88="","",'2026'!G88)</f>
        <v>250</v>
      </c>
      <c r="H88" s="23">
        <f>IF('2026'!H88="","",'2026'!H88)</f>
        <v>242.5</v>
      </c>
      <c r="I88" s="24">
        <f>IF('2026'!I88="","",'2026'!I88)</f>
        <v>237.5</v>
      </c>
      <c r="J88" s="25">
        <f>IF('2026'!J88="","",'2026'!J88)</f>
        <v>235</v>
      </c>
    </row>
    <row r="89" spans="1:10" x14ac:dyDescent="0.2">
      <c r="A89" s="57">
        <f>IF('2026'!B89="","",'2026'!B89)</f>
        <v>62</v>
      </c>
      <c r="B89" s="239" t="str">
        <f>IF('2026'!C89="","",'2026'!C89)</f>
        <v/>
      </c>
      <c r="C89" s="139" t="str">
        <f>IF('2026'!D89="","",'2026'!D89)</f>
        <v>Sandsage River Rock 1.5"</v>
      </c>
      <c r="D89" s="147" t="s">
        <v>372</v>
      </c>
      <c r="E89" s="57" t="str">
        <f>IF('2026'!E89="","",'2026'!E89)</f>
        <v>ton</v>
      </c>
      <c r="F89" s="152">
        <f>IF('2026'!F89="","",'2026'!F89)</f>
        <v>196</v>
      </c>
      <c r="G89" s="35">
        <f>IF('2026'!G89="","",'2026'!G89)</f>
        <v>130</v>
      </c>
      <c r="H89" s="23">
        <f>IF('2026'!H89="","",'2026'!H89)</f>
        <v>126.1</v>
      </c>
      <c r="I89" s="24">
        <f>IF('2026'!I89="","",'2026'!I89)</f>
        <v>123.5</v>
      </c>
      <c r="J89" s="25">
        <f>IF('2026'!J89="","",'2026'!J89)</f>
        <v>122.19999999999999</v>
      </c>
    </row>
    <row r="90" spans="1:10" x14ac:dyDescent="0.2">
      <c r="A90" s="57">
        <f>IF('2026'!B90="","",'2026'!B90)</f>
        <v>63</v>
      </c>
      <c r="B90" s="239" t="str">
        <f>IF('2026'!C90="","",'2026'!C90)</f>
        <v/>
      </c>
      <c r="C90" s="139" t="str">
        <f>IF('2026'!D90="","",'2026'!D90)</f>
        <v xml:space="preserve">Red Cherokee 1.5" </v>
      </c>
      <c r="D90" s="147" t="s">
        <v>372</v>
      </c>
      <c r="E90" s="57" t="str">
        <f>IF('2026'!E90="","",'2026'!E90)</f>
        <v>ton</v>
      </c>
      <c r="F90" s="152">
        <f>IF('2026'!F90="","",'2026'!F90)</f>
        <v>277</v>
      </c>
      <c r="G90" s="35">
        <f>IF('2026'!G90="","",'2026'!G90)</f>
        <v>198</v>
      </c>
      <c r="H90" s="23">
        <f>IF('2026'!H90="","",'2026'!H90)</f>
        <v>192.06</v>
      </c>
      <c r="I90" s="24">
        <f>IF('2026'!I90="","",'2026'!I90)</f>
        <v>188.1</v>
      </c>
      <c r="J90" s="25">
        <f>IF('2026'!J90="","",'2026'!J90)</f>
        <v>186.11999999999998</v>
      </c>
    </row>
    <row r="91" spans="1:10" x14ac:dyDescent="0.2">
      <c r="A91" s="57">
        <f>IF('2026'!B91="","",'2026'!B91)</f>
        <v>64</v>
      </c>
      <c r="B91" s="239" t="str">
        <f>IF('2026'!C91="","",'2026'!C91)</f>
        <v/>
      </c>
      <c r="C91" s="139" t="str">
        <f>IF('2026'!D91="","",'2026'!D91)</f>
        <v>Oklahoma Aztec Pea Gravel</v>
      </c>
      <c r="D91" s="147" t="s">
        <v>373</v>
      </c>
      <c r="E91" s="57" t="str">
        <f>IF('2026'!E91="","",'2026'!E91)</f>
        <v>ton</v>
      </c>
      <c r="F91" s="152">
        <f>IF('2026'!F91="","",'2026'!F91)</f>
        <v>219</v>
      </c>
      <c r="G91" s="35">
        <f>IF('2026'!G91="","",'2026'!G91)</f>
        <v>156</v>
      </c>
      <c r="H91" s="23">
        <f>IF('2026'!H91="","",'2026'!H91)</f>
        <v>151.32</v>
      </c>
      <c r="I91" s="24">
        <f>IF('2026'!I91="","",'2026'!I91)</f>
        <v>148.19999999999999</v>
      </c>
      <c r="J91" s="25">
        <f>IF('2026'!J91="","",'2026'!J91)</f>
        <v>146.63999999999999</v>
      </c>
    </row>
    <row r="92" spans="1:10" x14ac:dyDescent="0.2">
      <c r="A92" s="57">
        <f>IF('2026'!B92="","",'2026'!B92)</f>
        <v>65</v>
      </c>
      <c r="B92" s="239" t="str">
        <f>IF('2026'!C92="","",'2026'!C92)</f>
        <v/>
      </c>
      <c r="C92" s="139" t="str">
        <f>IF('2026'!D92="","",'2026'!D92)</f>
        <v>Crusher Fines</v>
      </c>
      <c r="D92" s="147" t="s">
        <v>375</v>
      </c>
      <c r="E92" s="57" t="str">
        <f>IF('2026'!E92="","",'2026'!E92)</f>
        <v>ton</v>
      </c>
      <c r="F92" s="152">
        <f>IF('2026'!F92="","",'2026'!F92)</f>
        <v>225</v>
      </c>
      <c r="G92" s="35">
        <f>IF('2026'!G92="","",'2026'!G92)</f>
        <v>150</v>
      </c>
      <c r="H92" s="23">
        <f>IF('2026'!H92="","",'2026'!H92)</f>
        <v>145.5</v>
      </c>
      <c r="I92" s="24">
        <f>IF('2026'!I92="","",'2026'!I92)</f>
        <v>142.5</v>
      </c>
      <c r="J92" s="25">
        <f>IF('2026'!J92="","",'2026'!J92)</f>
        <v>141</v>
      </c>
    </row>
    <row r="93" spans="1:10" x14ac:dyDescent="0.2">
      <c r="A93" s="57">
        <f>IF('2026'!B93="","",'2026'!B93)</f>
        <v>66</v>
      </c>
      <c r="B93" s="239" t="str">
        <f>IF('2026'!C93="","",'2026'!C93)</f>
        <v/>
      </c>
      <c r="C93" s="139" t="str">
        <f>IF('2026'!D93="","",'2026'!D93)</f>
        <v>Missouri Rainbow 1"</v>
      </c>
      <c r="D93" s="147" t="s">
        <v>373</v>
      </c>
      <c r="E93" s="57" t="str">
        <f>IF('2026'!E93="","",'2026'!E93)</f>
        <v>ton</v>
      </c>
      <c r="F93" s="152">
        <f>IF('2026'!F93="","",'2026'!F93)</f>
        <v>269</v>
      </c>
      <c r="G93" s="35">
        <f>IF('2026'!G93="","",'2026'!G93)</f>
        <v>180</v>
      </c>
      <c r="H93" s="23">
        <f>IF('2026'!H93="","",'2026'!H93)</f>
        <v>174.6</v>
      </c>
      <c r="I93" s="24">
        <f>IF('2026'!I93="","",'2026'!I93)</f>
        <v>171</v>
      </c>
      <c r="J93" s="25">
        <f>IF('2026'!J93="","",'2026'!J93)</f>
        <v>169.2</v>
      </c>
    </row>
    <row r="94" spans="1:10" x14ac:dyDescent="0.2">
      <c r="A94" s="57">
        <f>IF('2026'!B94="","",'2026'!B94)</f>
        <v>67</v>
      </c>
      <c r="B94" s="239" t="str">
        <f>IF('2026'!C94="","",'2026'!C94)</f>
        <v/>
      </c>
      <c r="C94" s="139" t="str">
        <f>IF('2026'!D94="","",'2026'!D94)</f>
        <v>Missouri Rainbow 2"</v>
      </c>
      <c r="D94" s="147" t="s">
        <v>376</v>
      </c>
      <c r="E94" s="57" t="str">
        <f>IF('2026'!E94="","",'2026'!E94)</f>
        <v>ton</v>
      </c>
      <c r="F94" s="152">
        <f>IF('2026'!F94="","",'2026'!F94)</f>
        <v>298</v>
      </c>
      <c r="G94" s="35">
        <f>IF('2026'!G94="","",'2026'!G94)</f>
        <v>198</v>
      </c>
      <c r="H94" s="23">
        <f>IF('2026'!H94="","",'2026'!H94)</f>
        <v>192.06</v>
      </c>
      <c r="I94" s="24">
        <f>IF('2026'!I94="","",'2026'!I94)</f>
        <v>188.1</v>
      </c>
      <c r="J94" s="25">
        <f>IF('2026'!J94="","",'2026'!J94)</f>
        <v>186.11999999999998</v>
      </c>
    </row>
    <row r="95" spans="1:10" x14ac:dyDescent="0.2">
      <c r="A95" s="57">
        <f>IF('2026'!B95="","",'2026'!B95)</f>
        <v>68</v>
      </c>
      <c r="B95" s="239" t="str">
        <f>IF('2026'!C95="","",'2026'!C95)</f>
        <v/>
      </c>
      <c r="C95" s="139" t="str">
        <f>IF('2026'!D95="","",'2026'!D95)</f>
        <v>Meramec 1.5"</v>
      </c>
      <c r="D95" s="147" t="s">
        <v>372</v>
      </c>
      <c r="E95" s="57" t="str">
        <f>IF('2026'!E95="","",'2026'!E95)</f>
        <v>ton</v>
      </c>
      <c r="F95" s="152">
        <f>IF('2026'!F95="","",'2026'!F95)</f>
        <v>295</v>
      </c>
      <c r="G95" s="35">
        <f>IF('2026'!G95="","",'2026'!G95)</f>
        <v>204</v>
      </c>
      <c r="H95" s="23">
        <f>IF('2026'!H95="","",'2026'!H95)</f>
        <v>197.88</v>
      </c>
      <c r="I95" s="24">
        <f>IF('2026'!I95="","",'2026'!I95)</f>
        <v>193.79999999999998</v>
      </c>
      <c r="J95" s="25">
        <f>IF('2026'!J95="","",'2026'!J95)</f>
        <v>191.76</v>
      </c>
    </row>
    <row r="96" spans="1:10" x14ac:dyDescent="0.2">
      <c r="A96" s="57">
        <f>IF('2026'!B96="","",'2026'!B96)</f>
        <v>69</v>
      </c>
      <c r="B96" s="239" t="str">
        <f>IF('2026'!C96="","",'2026'!C96)</f>
        <v/>
      </c>
      <c r="C96" s="139" t="str">
        <f>IF('2026'!D96="","",'2026'!D96)</f>
        <v>Large Meramec</v>
      </c>
      <c r="D96" s="147" t="s">
        <v>374</v>
      </c>
      <c r="E96" s="57" t="str">
        <f>IF('2026'!E96="","",'2026'!E96)</f>
        <v>ton</v>
      </c>
      <c r="F96" s="152">
        <f>IF('2026'!F96="","",'2026'!F96)</f>
        <v>295</v>
      </c>
      <c r="G96" s="35">
        <f>IF('2026'!G96="","",'2026'!G96)</f>
        <v>204</v>
      </c>
      <c r="H96" s="23">
        <f>IF('2026'!H96="","",'2026'!H96)</f>
        <v>197.88</v>
      </c>
      <c r="I96" s="24">
        <f>IF('2026'!I96="","",'2026'!I96)</f>
        <v>193.79999999999998</v>
      </c>
      <c r="J96" s="25">
        <f>IF('2026'!J96="","",'2026'!J96)</f>
        <v>191.76</v>
      </c>
    </row>
    <row r="97" spans="1:10" x14ac:dyDescent="0.2">
      <c r="A97" s="57">
        <f>IF('2026'!B97="","",'2026'!B97)</f>
        <v>70</v>
      </c>
      <c r="B97" s="239" t="str">
        <f>IF('2026'!C97="","",'2026'!C97)</f>
        <v/>
      </c>
      <c r="C97" s="139" t="str">
        <f>IF('2026'!D97="","",'2026'!D97)</f>
        <v>Colorado River Rock 1.5"</v>
      </c>
      <c r="D97" s="147" t="s">
        <v>372</v>
      </c>
      <c r="E97" s="57" t="str">
        <f>IF('2026'!E97="","",'2026'!E97)</f>
        <v>ton</v>
      </c>
      <c r="F97" s="152">
        <f>IF('2026'!F97="","",'2026'!F97)</f>
        <v>325</v>
      </c>
      <c r="G97" s="35">
        <f>IF('2026'!G97="","",'2026'!G97)</f>
        <v>232</v>
      </c>
      <c r="H97" s="23">
        <f>IF('2026'!H97="","",'2026'!H97)</f>
        <v>225.04</v>
      </c>
      <c r="I97" s="24">
        <f>IF('2026'!I97="","",'2026'!I97)</f>
        <v>220.39999999999998</v>
      </c>
      <c r="J97" s="25">
        <f>IF('2026'!J97="","",'2026'!J97)</f>
        <v>218.07999999999998</v>
      </c>
    </row>
    <row r="98" spans="1:10" x14ac:dyDescent="0.2">
      <c r="A98" s="57">
        <f>IF('2026'!B98="","",'2026'!B98)</f>
        <v>71</v>
      </c>
      <c r="B98" s="239" t="str">
        <f>IF('2026'!C98="","",'2026'!C98)</f>
        <v/>
      </c>
      <c r="C98" s="139" t="str">
        <f>IF('2026'!D98="","",'2026'!D98)</f>
        <v>Colorado River Rock 2-4"</v>
      </c>
      <c r="D98" s="147" t="s">
        <v>374</v>
      </c>
      <c r="E98" s="57" t="str">
        <f>IF('2026'!E98="","",'2026'!E98)</f>
        <v>ton</v>
      </c>
      <c r="F98" s="152">
        <f>IF('2026'!F98="","",'2026'!F98)</f>
        <v>328</v>
      </c>
      <c r="G98" s="35">
        <f>IF('2026'!G98="","",'2026'!G98)</f>
        <v>234</v>
      </c>
      <c r="H98" s="23">
        <f>IF('2026'!H98="","",'2026'!H98)</f>
        <v>226.98</v>
      </c>
      <c r="I98" s="24">
        <f>IF('2026'!I98="","",'2026'!I98)</f>
        <v>222.29999999999998</v>
      </c>
      <c r="J98" s="25">
        <f>IF('2026'!J98="","",'2026'!J98)</f>
        <v>219.95999999999998</v>
      </c>
    </row>
    <row r="99" spans="1:10" x14ac:dyDescent="0.2">
      <c r="A99" s="57">
        <f>IF('2026'!B99="","",'2026'!B99)</f>
        <v>72</v>
      </c>
      <c r="B99" s="239" t="str">
        <f>IF('2026'!C99="","",'2026'!C99)</f>
        <v/>
      </c>
      <c r="C99" s="139" t="str">
        <f>IF('2026'!D99="","",'2026'!D99)</f>
        <v>Colorado River Rock 4-8"</v>
      </c>
      <c r="D99" s="147" t="s">
        <v>377</v>
      </c>
      <c r="E99" s="57" t="str">
        <f>IF('2026'!E99="","",'2026'!E99)</f>
        <v>ton</v>
      </c>
      <c r="F99" s="152">
        <f>IF('2026'!F99="","",'2026'!F99)</f>
        <v>332</v>
      </c>
      <c r="G99" s="35">
        <f>IF('2026'!G99="","",'2026'!G99)</f>
        <v>237</v>
      </c>
      <c r="H99" s="23">
        <f>IF('2026'!H99="","",'2026'!H99)</f>
        <v>229.89</v>
      </c>
      <c r="I99" s="24">
        <f>IF('2026'!I99="","",'2026'!I99)</f>
        <v>225.14999999999998</v>
      </c>
      <c r="J99" s="25">
        <f>IF('2026'!J99="","",'2026'!J99)</f>
        <v>222.78</v>
      </c>
    </row>
    <row r="100" spans="1:10" x14ac:dyDescent="0.2">
      <c r="A100" s="57" t="str">
        <f>IF('2026'!B100="","",'2026'!B100)</f>
        <v>OS</v>
      </c>
      <c r="B100" s="239" t="str">
        <f>IF('2026'!C100="","",'2026'!C100)</f>
        <v/>
      </c>
      <c r="C100" s="139" t="str">
        <f>IF('2026'!D100="","",'2026'!D100)</f>
        <v>Egg Rock 1-4"</v>
      </c>
      <c r="D100" s="147" t="s">
        <v>374</v>
      </c>
      <c r="E100" s="57" t="str">
        <f>IF('2026'!E100="","",'2026'!E100)</f>
        <v>ton</v>
      </c>
      <c r="F100" s="152">
        <f>IF('2026'!F100="","",'2026'!F100)</f>
        <v>270</v>
      </c>
      <c r="G100" s="35">
        <f>IF('2026'!G100="","",'2026'!G100)</f>
        <v>193</v>
      </c>
      <c r="H100" s="23">
        <f>IF('2026'!H100="","",'2026'!H100)</f>
        <v>187.21</v>
      </c>
      <c r="I100" s="24">
        <f>IF('2026'!I100="","",'2026'!I100)</f>
        <v>183.35</v>
      </c>
      <c r="J100" s="25">
        <f>IF('2026'!J100="","",'2026'!J100)</f>
        <v>181.42</v>
      </c>
    </row>
    <row r="101" spans="1:10" x14ac:dyDescent="0.2">
      <c r="A101" s="20"/>
      <c r="B101" s="49"/>
      <c r="C101" s="144" t="s">
        <v>359</v>
      </c>
      <c r="D101" s="145"/>
      <c r="E101" s="14"/>
      <c r="F101" s="48"/>
      <c r="G101" s="48"/>
      <c r="H101" s="48"/>
      <c r="I101" s="48"/>
      <c r="J101" s="48"/>
    </row>
    <row r="102" spans="1:10" x14ac:dyDescent="0.2">
      <c r="A102" s="57">
        <f>IF('2026'!B102="","",'2026'!B102)</f>
        <v>100</v>
      </c>
      <c r="B102" s="239" t="str">
        <f>IF('2026'!C102="","",'2026'!C102)</f>
        <v/>
      </c>
      <c r="C102" s="139" t="str">
        <f>IF('2026'!D102="","",'2026'!D102)</f>
        <v>Ledgestone CE Coping (Gray or Buff)</v>
      </c>
      <c r="D102" s="147" t="s">
        <v>378</v>
      </c>
      <c r="E102" s="57" t="str">
        <f>IF('2026'!E102="","",'2026'!E102)</f>
        <v>each</v>
      </c>
      <c r="F102" s="152">
        <f>IF('2026'!F102="","",'2026'!F102)</f>
        <v>39.550560000000004</v>
      </c>
      <c r="G102" s="35">
        <f>IF('2026'!G102="","",'2026'!G102)</f>
        <v>32.958800000000004</v>
      </c>
      <c r="H102" s="23">
        <f>IF('2026'!H102="","",'2026'!H102)</f>
        <v>31.970036000000004</v>
      </c>
      <c r="I102" s="24">
        <f>IF('2026'!I102="","",'2026'!I102)</f>
        <v>31.310860000000002</v>
      </c>
      <c r="J102" s="25">
        <f>IF('2026'!J102="","",'2026'!J102)</f>
        <v>30.981272000000001</v>
      </c>
    </row>
    <row r="103" spans="1:10" x14ac:dyDescent="0.2">
      <c r="A103" s="57">
        <f>IF('2026'!B103="","",'2026'!B103)</f>
        <v>101</v>
      </c>
      <c r="B103" s="239" t="str">
        <f>IF('2026'!C103="","",'2026'!C103)</f>
        <v/>
      </c>
      <c r="C103" s="139" t="str">
        <f>IF('2026'!D103="","",'2026'!D103)</f>
        <v>Ledgestone Coping (Gray or Buff)</v>
      </c>
      <c r="D103" s="147" t="s">
        <v>378</v>
      </c>
      <c r="E103" s="57" t="str">
        <f>IF('2026'!E103="","",'2026'!E103)</f>
        <v>each</v>
      </c>
      <c r="F103" s="152">
        <f>IF('2026'!F103="","",'2026'!F103)</f>
        <v>38.620800000000003</v>
      </c>
      <c r="G103" s="35">
        <f>IF('2026'!G103="","",'2026'!G103)</f>
        <v>32.184000000000005</v>
      </c>
      <c r="H103" s="23">
        <f>IF('2026'!H103="","",'2026'!H103)</f>
        <v>31.218480000000003</v>
      </c>
      <c r="I103" s="24">
        <f>IF('2026'!I103="","",'2026'!I103)</f>
        <v>30.574800000000003</v>
      </c>
      <c r="J103" s="25">
        <f>IF('2026'!J103="","",'2026'!J103)</f>
        <v>30.252960000000002</v>
      </c>
    </row>
    <row r="104" spans="1:10" x14ac:dyDescent="0.2">
      <c r="A104" s="57">
        <f>IF('2026'!B104="","",'2026'!B104)</f>
        <v>102</v>
      </c>
      <c r="B104" s="239" t="str">
        <f>IF('2026'!C104="","",'2026'!C104)</f>
        <v/>
      </c>
      <c r="C104" s="139" t="str">
        <f>IF('2026'!D104="","",'2026'!D104)</f>
        <v>Ledgestone Firepit Coping (Buff)</v>
      </c>
      <c r="D104" s="147" t="s">
        <v>783</v>
      </c>
      <c r="E104" s="57" t="str">
        <f>IF('2026'!E104="","",'2026'!E104)</f>
        <v>each</v>
      </c>
      <c r="F104" s="152">
        <f>IF('2026'!F104="","",'2026'!F104)</f>
        <v>43.91328</v>
      </c>
      <c r="G104" s="35">
        <f>IF('2026'!G104="","",'2026'!G104)</f>
        <v>36.5944</v>
      </c>
      <c r="H104" s="23">
        <f>IF('2026'!H104="","",'2026'!H104)</f>
        <v>35.496567999999996</v>
      </c>
      <c r="I104" s="24">
        <f>IF('2026'!I104="","",'2026'!I104)</f>
        <v>34.764679999999998</v>
      </c>
      <c r="J104" s="25">
        <f>IF('2026'!J104="","",'2026'!J104)</f>
        <v>34.398736</v>
      </c>
    </row>
    <row r="105" spans="1:10" x14ac:dyDescent="0.2">
      <c r="A105" s="57">
        <f>IF('2026'!B105="","",'2026'!B105)</f>
        <v>103</v>
      </c>
      <c r="B105" s="239" t="str">
        <f>IF('2026'!C105="","",'2026'!C105)</f>
        <v/>
      </c>
      <c r="C105" s="139" t="str">
        <f>IF('2026'!D105="","",'2026'!D105)</f>
        <v>Ledgestone Pillar Cap 24x24x4 (Gray or Buff)</v>
      </c>
      <c r="D105" s="147" t="s">
        <v>379</v>
      </c>
      <c r="E105" s="57" t="str">
        <f>IF('2026'!E105="","",'2026'!E105)</f>
        <v>each</v>
      </c>
      <c r="F105" s="152">
        <f>IF('2026'!F105="","",'2026'!F105)</f>
        <v>180.90984</v>
      </c>
      <c r="G105" s="35">
        <f>IF('2026'!G105="","",'2026'!G105)</f>
        <v>150.75820000000002</v>
      </c>
      <c r="H105" s="23">
        <f>IF('2026'!H105="","",'2026'!H105)</f>
        <v>146.235454</v>
      </c>
      <c r="I105" s="24">
        <f>IF('2026'!I105="","",'2026'!I105)</f>
        <v>143.22029000000001</v>
      </c>
      <c r="J105" s="25">
        <f>IF('2026'!J105="","",'2026'!J105)</f>
        <v>141.71270800000002</v>
      </c>
    </row>
    <row r="106" spans="1:10" x14ac:dyDescent="0.2">
      <c r="A106" s="57">
        <f>IF('2026'!B106="","",'2026'!B106)</f>
        <v>104</v>
      </c>
      <c r="B106" s="239" t="str">
        <f>IF('2026'!C106="","",'2026'!C106)</f>
        <v/>
      </c>
      <c r="C106" s="139" t="str">
        <f>IF('2026'!D106="","",'2026'!D106)</f>
        <v>Ledgestone Pillar Cap 28x28x4 (Gray or Buff)</v>
      </c>
      <c r="D106" s="147" t="s">
        <v>380</v>
      </c>
      <c r="E106" s="57" t="str">
        <f>IF('2026'!E106="","",'2026'!E106)</f>
        <v>each</v>
      </c>
      <c r="F106" s="152">
        <f>IF('2026'!F106="","",'2026'!F106)</f>
        <v>274.90499999999997</v>
      </c>
      <c r="G106" s="35">
        <f>IF('2026'!G106="","",'2026'!G106)</f>
        <v>229.08750000000001</v>
      </c>
      <c r="H106" s="23">
        <f>IF('2026'!H106="","",'2026'!H106)</f>
        <v>222.21487500000001</v>
      </c>
      <c r="I106" s="24">
        <f>IF('2026'!I106="","",'2026'!I106)</f>
        <v>217.63312500000001</v>
      </c>
      <c r="J106" s="25">
        <f>IF('2026'!J106="","",'2026'!J106)</f>
        <v>215.34225000000001</v>
      </c>
    </row>
    <row r="107" spans="1:10" x14ac:dyDescent="0.2">
      <c r="A107" s="57">
        <f>IF('2026'!B107="","",'2026'!B107)</f>
        <v>105</v>
      </c>
      <c r="B107" s="239" t="str">
        <f>IF('2026'!C107="","",'2026'!C107)</f>
        <v/>
      </c>
      <c r="C107" s="139" t="str">
        <f>IF('2026'!D107="","",'2026'!D107)</f>
        <v>Weston Universal (Brittany Beige)</v>
      </c>
      <c r="D107" s="147" t="s">
        <v>382</v>
      </c>
      <c r="E107" s="57" t="str">
        <f>IF('2026'!E107="","",'2026'!E107)</f>
        <v>each</v>
      </c>
      <c r="F107" s="152">
        <f>IF('2026'!F107="","",'2026'!F107)</f>
        <v>6.19</v>
      </c>
      <c r="G107" s="35">
        <f>IF('2026'!G107="","",'2026'!G107)</f>
        <v>5.16</v>
      </c>
      <c r="H107" s="23">
        <f>IF('2026'!H107="","",'2026'!H107)</f>
        <v>5.0052000000000003</v>
      </c>
      <c r="I107" s="24">
        <f>IF('2026'!I107="","",'2026'!I107)</f>
        <v>4.9020000000000001</v>
      </c>
      <c r="J107" s="25">
        <f>IF('2026'!J107="","",'2026'!J107)</f>
        <v>4.8503999999999996</v>
      </c>
    </row>
    <row r="108" spans="1:10" x14ac:dyDescent="0.2">
      <c r="A108" s="57">
        <f>IF('2026'!B108="","",'2026'!B108)</f>
        <v>106</v>
      </c>
      <c r="B108" s="239" t="str">
        <f>IF('2026'!C108="","",'2026'!C108)</f>
        <v/>
      </c>
      <c r="C108" s="139" t="str">
        <f>IF('2026'!D108="","",'2026'!D108)</f>
        <v>Weston Universal (Black Diamond)</v>
      </c>
      <c r="D108" s="147" t="s">
        <v>382</v>
      </c>
      <c r="E108" s="57" t="str">
        <f>IF('2026'!E108="","",'2026'!E108)</f>
        <v>each</v>
      </c>
      <c r="F108" s="152">
        <f>IF('2026'!F108="","",'2026'!F108)</f>
        <v>6.19</v>
      </c>
      <c r="G108" s="35">
        <f>IF('2026'!G108="","",'2026'!G108)</f>
        <v>5.16</v>
      </c>
      <c r="H108" s="23">
        <f>IF('2026'!H108="","",'2026'!H108)</f>
        <v>5.0052000000000003</v>
      </c>
      <c r="I108" s="24">
        <f>IF('2026'!I108="","",'2026'!I108)</f>
        <v>4.9020000000000001</v>
      </c>
      <c r="J108" s="25">
        <f>IF('2026'!J108="","",'2026'!J108)</f>
        <v>4.8503999999999996</v>
      </c>
    </row>
    <row r="109" spans="1:10" x14ac:dyDescent="0.2">
      <c r="A109" s="57">
        <f>IF('2026'!B109="","",'2026'!B109)</f>
        <v>107</v>
      </c>
      <c r="B109" s="239" t="str">
        <f>IF('2026'!C109="","",'2026'!C109)</f>
        <v/>
      </c>
      <c r="C109" s="139" t="str">
        <f>IF('2026'!D109="","",'2026'!D109)</f>
        <v>Copthorne - Red, Basalt, Blue Steel (.15 sqft each)</v>
      </c>
      <c r="D109" s="147" t="s">
        <v>381</v>
      </c>
      <c r="E109" s="57" t="str">
        <f>IF('2026'!E109="","",'2026'!E109)</f>
        <v>each</v>
      </c>
      <c r="F109" s="152">
        <f>IF('2026'!F109="","",'2026'!F109)</f>
        <v>2.4</v>
      </c>
      <c r="G109" s="35">
        <f>IF('2026'!G109="","",'2026'!G109)</f>
        <v>2</v>
      </c>
      <c r="H109" s="23">
        <f>IF('2026'!H109="","",'2026'!H109)</f>
        <v>1.94</v>
      </c>
      <c r="I109" s="24">
        <f>IF('2026'!I109="","",'2026'!I109)</f>
        <v>1.9</v>
      </c>
      <c r="J109" s="25">
        <f>IF('2026'!J109="","",'2026'!J109)</f>
        <v>1.88</v>
      </c>
    </row>
    <row r="110" spans="1:10" x14ac:dyDescent="0.2">
      <c r="A110" s="57">
        <f>IF('2026'!B110="","",'2026'!B110)</f>
        <v>108</v>
      </c>
      <c r="B110" s="239" t="str">
        <f>IF('2026'!C110="","",'2026'!C110)</f>
        <v/>
      </c>
      <c r="C110" s="139" t="str">
        <f>IF('2026'!D110="","",'2026'!D110)</f>
        <v>Brussels Dimensional Stone - Limestone</v>
      </c>
      <c r="D110" s="147" t="s">
        <v>775</v>
      </c>
      <c r="E110" s="57" t="str">
        <f>IF('2026'!E110="","",'2026'!E110)</f>
        <v>each</v>
      </c>
      <c r="F110" s="152">
        <f>IF('2026'!F110="","",'2026'!F110)</f>
        <v>6.9</v>
      </c>
      <c r="G110" s="35">
        <f>IF('2026'!G110="","",'2026'!G110)</f>
        <v>5.75</v>
      </c>
      <c r="H110" s="23">
        <f>IF('2026'!H110="","",'2026'!H110)</f>
        <v>5.5774999999999997</v>
      </c>
      <c r="I110" s="24">
        <f>IF('2026'!I110="","",'2026'!I110)</f>
        <v>5.4624999999999995</v>
      </c>
      <c r="J110" s="25">
        <f>IF('2026'!J110="","",'2026'!J110)</f>
        <v>5.4049999999999994</v>
      </c>
    </row>
    <row r="111" spans="1:10" x14ac:dyDescent="0.2">
      <c r="A111" s="20"/>
      <c r="B111" s="49"/>
      <c r="C111" s="2" t="s">
        <v>106</v>
      </c>
      <c r="D111" s="20"/>
      <c r="E111" s="14"/>
      <c r="F111" s="48"/>
      <c r="G111" s="48"/>
      <c r="H111" s="48"/>
      <c r="I111" s="48"/>
      <c r="J111" s="48"/>
    </row>
    <row r="112" spans="1:10" ht="15" customHeight="1" x14ac:dyDescent="0.2">
      <c r="A112" s="284" t="s">
        <v>224</v>
      </c>
      <c r="B112" s="285"/>
      <c r="C112" s="285"/>
      <c r="D112" s="285"/>
      <c r="E112" s="285"/>
      <c r="F112" s="285"/>
      <c r="G112" s="285"/>
      <c r="H112" s="285"/>
      <c r="I112" s="285"/>
      <c r="J112" s="286"/>
    </row>
    <row r="113" spans="1:10" x14ac:dyDescent="0.2">
      <c r="A113" s="57" t="str">
        <f>IF('2026'!B113="","",'2026'!B113)</f>
        <v/>
      </c>
      <c r="B113" s="239" t="str">
        <f>IF('2026'!C113="","",'2026'!C113)</f>
        <v/>
      </c>
      <c r="C113" s="139" t="str">
        <f>IF('2026'!D113="","",'2026'!D113)</f>
        <v xml:space="preserve">   Eco Series - Quarry FLATS</v>
      </c>
      <c r="D113" s="146"/>
      <c r="E113" s="57" t="str">
        <f>IF('2026'!E113="","",'2026'!E113)</f>
        <v>Sq Ft</v>
      </c>
      <c r="F113" s="152">
        <f>IF('2026'!F113="","",'2026'!F113)</f>
        <v>8.75</v>
      </c>
      <c r="G113" s="35">
        <f>IF('2026'!G113="","",'2026'!G113)</f>
        <v>7.5</v>
      </c>
      <c r="H113" s="23">
        <f>IF('2026'!H113="","",'2026'!H113)</f>
        <v>7.2749999999999995</v>
      </c>
      <c r="I113" s="24">
        <f>IF('2026'!I113="","",'2026'!I113)</f>
        <v>7.125</v>
      </c>
      <c r="J113" s="25">
        <f>IF('2026'!J113="","",'2026'!J113)</f>
        <v>7.05</v>
      </c>
    </row>
    <row r="114" spans="1:10" x14ac:dyDescent="0.2">
      <c r="A114" s="57" t="str">
        <f>IF('2026'!B114="","",'2026'!B114)</f>
        <v/>
      </c>
      <c r="B114" s="239" t="str">
        <f>IF('2026'!C114="","",'2026'!C114)</f>
        <v/>
      </c>
      <c r="C114" s="139" t="str">
        <f>IF('2026'!D114="","",'2026'!D114)</f>
        <v xml:space="preserve">   Eco Series - Quarry CORNERS</v>
      </c>
      <c r="D114" s="146"/>
      <c r="E114" s="57" t="str">
        <f>IF('2026'!E114="","",'2026'!E114)</f>
        <v>Ln Ft</v>
      </c>
      <c r="F114" s="152">
        <f>IF('2026'!F114="","",'2026'!F114)</f>
        <v>13.25</v>
      </c>
      <c r="G114" s="35">
        <f>IF('2026'!G114="","",'2026'!G114)</f>
        <v>11.25</v>
      </c>
      <c r="H114" s="23">
        <f>IF('2026'!H114="","",'2026'!H114)</f>
        <v>10.9125</v>
      </c>
      <c r="I114" s="24">
        <f>IF('2026'!I114="","",'2026'!I114)</f>
        <v>10.6875</v>
      </c>
      <c r="J114" s="25">
        <f>IF('2026'!J114="","",'2026'!J114)</f>
        <v>10.574999999999999</v>
      </c>
    </row>
    <row r="115" spans="1:10" x14ac:dyDescent="0.2">
      <c r="A115" s="57" t="str">
        <f>IF('2026'!B115="","",'2026'!B115)</f>
        <v/>
      </c>
      <c r="B115" s="239" t="str">
        <f>IF('2026'!C115="","",'2026'!C115)</f>
        <v/>
      </c>
      <c r="C115" s="139" t="str">
        <f>IF('2026'!D115="","",'2026'!D115)</f>
        <v xml:space="preserve">   Eco Series - Vieux FLATS</v>
      </c>
      <c r="D115" s="146"/>
      <c r="E115" s="57" t="str">
        <f>IF('2026'!E115="","",'2026'!E115)</f>
        <v>Sq Ft</v>
      </c>
      <c r="F115" s="152">
        <f>IF('2026'!F115="","",'2026'!F115)</f>
        <v>9</v>
      </c>
      <c r="G115" s="35">
        <f>IF('2026'!G115="","",'2026'!G115)</f>
        <v>7.75</v>
      </c>
      <c r="H115" s="23">
        <f>IF('2026'!H115="","",'2026'!H115)</f>
        <v>7.5175000000000001</v>
      </c>
      <c r="I115" s="24">
        <f>IF('2026'!I115="","",'2026'!I115)</f>
        <v>7.3624999999999998</v>
      </c>
      <c r="J115" s="25">
        <f>IF('2026'!J115="","",'2026'!J115)</f>
        <v>7.2849999999999993</v>
      </c>
    </row>
    <row r="116" spans="1:10" x14ac:dyDescent="0.2">
      <c r="A116" s="57" t="str">
        <f>IF('2026'!B116="","",'2026'!B116)</f>
        <v/>
      </c>
      <c r="B116" s="239" t="str">
        <f>IF('2026'!C116="","",'2026'!C116)</f>
        <v/>
      </c>
      <c r="C116" s="139" t="str">
        <f>IF('2026'!D116="","",'2026'!D116)</f>
        <v xml:space="preserve">   Eco Series - Vieux CORNERS</v>
      </c>
      <c r="D116" s="146"/>
      <c r="E116" s="57" t="str">
        <f>IF('2026'!E116="","",'2026'!E116)</f>
        <v>Ln Ft</v>
      </c>
      <c r="F116" s="152">
        <f>IF('2026'!F116="","",'2026'!F116)</f>
        <v>13.75</v>
      </c>
      <c r="G116" s="35">
        <f>IF('2026'!G116="","",'2026'!G116)</f>
        <v>11.75</v>
      </c>
      <c r="H116" s="23">
        <f>IF('2026'!H116="","",'2026'!H116)</f>
        <v>11.397499999999999</v>
      </c>
      <c r="I116" s="24">
        <f>IF('2026'!I116="","",'2026'!I116)</f>
        <v>11.1625</v>
      </c>
      <c r="J116" s="25">
        <f>IF('2026'!J116="","",'2026'!J116)</f>
        <v>11.045</v>
      </c>
    </row>
    <row r="117" spans="1:10" x14ac:dyDescent="0.2">
      <c r="A117" s="57" t="str">
        <f>IF('2026'!B117="","",'2026'!B117)</f>
        <v/>
      </c>
      <c r="B117" s="239" t="str">
        <f>IF('2026'!C117="","",'2026'!C117)</f>
        <v/>
      </c>
      <c r="C117" s="139" t="str">
        <f>IF('2026'!D117="","",'2026'!D117)</f>
        <v xml:space="preserve">   Eco Series - Wood FLATS</v>
      </c>
      <c r="D117" s="146"/>
      <c r="E117" s="57" t="str">
        <f>IF('2026'!E117="","",'2026'!E117)</f>
        <v>Sq Ft</v>
      </c>
      <c r="F117" s="152">
        <f>IF('2026'!F117="","",'2026'!F117)</f>
        <v>8.5</v>
      </c>
      <c r="G117" s="35">
        <f>IF('2026'!G117="","",'2026'!G117)</f>
        <v>7.25</v>
      </c>
      <c r="H117" s="23">
        <f>IF('2026'!H117="","",'2026'!H117)</f>
        <v>7.0324999999999998</v>
      </c>
      <c r="I117" s="24">
        <f>IF('2026'!I117="","",'2026'!I117)</f>
        <v>6.8874999999999993</v>
      </c>
      <c r="J117" s="25">
        <f>IF('2026'!J117="","",'2026'!J117)</f>
        <v>6.8149999999999995</v>
      </c>
    </row>
    <row r="118" spans="1:10" x14ac:dyDescent="0.2">
      <c r="A118" s="57" t="str">
        <f>IF('2026'!B118="","",'2026'!B118)</f>
        <v/>
      </c>
      <c r="B118" s="239" t="str">
        <f>IF('2026'!C118="","",'2026'!C118)</f>
        <v/>
      </c>
      <c r="C118" s="139" t="str">
        <f>IF('2026'!D118="","",'2026'!D118)</f>
        <v xml:space="preserve">   Eco Series - Wood CORNERS</v>
      </c>
      <c r="D118" s="146"/>
      <c r="E118" s="57" t="str">
        <f>IF('2026'!E118="","",'2026'!E118)</f>
        <v>Ln Ft</v>
      </c>
      <c r="F118" s="152">
        <f>IF('2026'!F118="","",'2026'!F118)</f>
        <v>13</v>
      </c>
      <c r="G118" s="35">
        <f>IF('2026'!G118="","",'2026'!G118)</f>
        <v>11</v>
      </c>
      <c r="H118" s="23">
        <f>IF('2026'!H118="","",'2026'!H118)</f>
        <v>10.67</v>
      </c>
      <c r="I118" s="24">
        <f>IF('2026'!I118="","",'2026'!I118)</f>
        <v>10.45</v>
      </c>
      <c r="J118" s="25">
        <f>IF('2026'!J118="","",'2026'!J118)</f>
        <v>10.34</v>
      </c>
    </row>
    <row r="119" spans="1:10" x14ac:dyDescent="0.2">
      <c r="A119" s="57" t="str">
        <f>IF('2026'!B119="","",'2026'!B119)</f>
        <v/>
      </c>
      <c r="B119" s="239" t="str">
        <f>IF('2026'!C119="","",'2026'!C119)</f>
        <v/>
      </c>
      <c r="C119" s="139" t="str">
        <f>IF('2026'!D119="","",'2026'!D119)</f>
        <v xml:space="preserve">   Eco Series - Pewter Column Caps</v>
      </c>
      <c r="D119" s="147" t="s">
        <v>383</v>
      </c>
      <c r="E119" s="57" t="str">
        <f>IF('2026'!E119="","",'2026'!E119)</f>
        <v>Each</v>
      </c>
      <c r="F119" s="152">
        <f>IF('2026'!F119="","",'2026'!F119)</f>
        <v>90</v>
      </c>
      <c r="G119" s="35">
        <f>IF('2026'!G119="","",'2026'!G119)</f>
        <v>75</v>
      </c>
      <c r="H119" s="23">
        <f>IF('2026'!H119="","",'2026'!H119)</f>
        <v>72.75</v>
      </c>
      <c r="I119" s="24">
        <f>IF('2026'!I119="","",'2026'!I119)</f>
        <v>71.25</v>
      </c>
      <c r="J119" s="25">
        <f>IF('2026'!J119="","",'2026'!J119)</f>
        <v>70.5</v>
      </c>
    </row>
    <row r="120" spans="1:10" x14ac:dyDescent="0.2">
      <c r="A120" s="57" t="str">
        <f>IF('2026'!B120="","",'2026'!B120)</f>
        <v/>
      </c>
      <c r="B120" s="239" t="str">
        <f>IF('2026'!C120="","",'2026'!C120)</f>
        <v/>
      </c>
      <c r="C120" s="139" t="str">
        <f>IF('2026'!D120="","",'2026'!D120)</f>
        <v xml:space="preserve">   Eco Series - Pewter Sills</v>
      </c>
      <c r="D120" s="147" t="s">
        <v>384</v>
      </c>
      <c r="E120" s="57" t="str">
        <f>IF('2026'!E120="","",'2026'!E120)</f>
        <v>Each</v>
      </c>
      <c r="F120" s="152">
        <f>IF('2026'!F120="","",'2026'!F120)</f>
        <v>14</v>
      </c>
      <c r="G120" s="35">
        <f>IF('2026'!G120="","",'2026'!G120)</f>
        <v>10</v>
      </c>
      <c r="H120" s="23">
        <f>IF('2026'!H120="","",'2026'!H120)</f>
        <v>9.6999999999999993</v>
      </c>
      <c r="I120" s="24">
        <f>IF('2026'!I120="","",'2026'!I120)</f>
        <v>9.5</v>
      </c>
      <c r="J120" s="25">
        <f>IF('2026'!J120="","",'2026'!J120)</f>
        <v>9.3999999999999986</v>
      </c>
    </row>
    <row r="121" spans="1:10" ht="15" customHeight="1" x14ac:dyDescent="0.2">
      <c r="A121" s="284" t="s">
        <v>360</v>
      </c>
      <c r="B121" s="285"/>
      <c r="C121" s="285"/>
      <c r="D121" s="285"/>
      <c r="E121" s="285"/>
      <c r="F121" s="285"/>
      <c r="G121" s="285"/>
      <c r="H121" s="285"/>
      <c r="I121" s="285"/>
      <c r="J121" s="286"/>
    </row>
    <row r="122" spans="1:10" x14ac:dyDescent="0.2">
      <c r="A122" s="57" t="str">
        <f>IF('2026'!B122="","",'2026'!B122)</f>
        <v/>
      </c>
      <c r="B122" s="239" t="str">
        <f>IF('2026'!C122="","",'2026'!C122)</f>
        <v/>
      </c>
      <c r="C122" s="139" t="str">
        <f>IF('2026'!D122="","",'2026'!D122)</f>
        <v xml:space="preserve">   Manufactured Veneer - All Lines - Flats/SF</v>
      </c>
      <c r="D122" s="57"/>
      <c r="E122" s="57" t="str">
        <f>IF('2026'!E122="","",'2026'!E122)</f>
        <v/>
      </c>
      <c r="F122" s="152" t="str">
        <f>IF('2026'!F122="","",'2026'!F122)</f>
        <v/>
      </c>
      <c r="G122" s="35" t="str">
        <f>IF('2026'!G122="","",'2026'!G122)</f>
        <v/>
      </c>
      <c r="H122" s="23" t="str">
        <f>IF('2026'!H122="","",'2026'!H122)</f>
        <v/>
      </c>
      <c r="I122" s="24" t="str">
        <f>IF('2026'!I122="","",'2026'!I122)</f>
        <v/>
      </c>
      <c r="J122" s="25" t="str">
        <f>IF('2026'!J122="","",'2026'!J122)</f>
        <v/>
      </c>
    </row>
    <row r="123" spans="1:10" x14ac:dyDescent="0.2">
      <c r="A123" s="57" t="str">
        <f>IF('2026'!B123="","",'2026'!B123)</f>
        <v/>
      </c>
      <c r="B123" s="239" t="str">
        <f>IF('2026'!C123="","",'2026'!C123)</f>
        <v/>
      </c>
      <c r="C123" s="139" t="str">
        <f>IF('2026'!D123="","",'2026'!D123)</f>
        <v xml:space="preserve">   Manufactured Veneer - All Lines - Corners/LN</v>
      </c>
      <c r="D123" s="57"/>
      <c r="E123" s="57" t="str">
        <f>IF('2026'!E123="","",'2026'!E123)</f>
        <v/>
      </c>
      <c r="F123" s="152" t="str">
        <f>IF('2026'!F123="","",'2026'!F123)</f>
        <v/>
      </c>
      <c r="G123" s="35" t="str">
        <f>IF('2026'!G123="","",'2026'!G123)</f>
        <v/>
      </c>
      <c r="H123" s="23" t="str">
        <f>IF('2026'!H123="","",'2026'!H123)</f>
        <v/>
      </c>
      <c r="I123" s="24" t="str">
        <f>IF('2026'!I123="","",'2026'!I123)</f>
        <v/>
      </c>
      <c r="J123" s="25" t="str">
        <f>IF('2026'!J123="","",'2026'!J123)</f>
        <v/>
      </c>
    </row>
    <row r="124" spans="1:10" x14ac:dyDescent="0.2">
      <c r="A124" s="20"/>
      <c r="B124" s="49"/>
      <c r="C124" s="2" t="s">
        <v>109</v>
      </c>
      <c r="D124" s="20"/>
      <c r="E124" s="14"/>
      <c r="F124" s="48"/>
      <c r="G124" s="48"/>
      <c r="H124" s="48"/>
      <c r="I124" s="48"/>
      <c r="J124" s="48"/>
    </row>
    <row r="125" spans="1:10" x14ac:dyDescent="0.2">
      <c r="A125" s="57" t="str">
        <f>IF('2026'!B125="","",'2026'!B125)</f>
        <v/>
      </c>
      <c r="B125" s="239" t="str">
        <f>IF('2026'!C125="","",'2026'!C125)</f>
        <v/>
      </c>
      <c r="C125" s="139" t="str">
        <f>IF('2026'!D125="","",'2026'!D125)</f>
        <v>Pulverized Black Gold Topsoil</v>
      </c>
      <c r="D125" s="289" t="s">
        <v>385</v>
      </c>
      <c r="E125" s="57" t="str">
        <f>IF('2026'!E125="","",'2026'!E125)</f>
        <v>ton</v>
      </c>
      <c r="F125" s="152">
        <f>IF('2026'!F125="","",'2026'!F125)</f>
        <v>76</v>
      </c>
      <c r="G125" s="35">
        <f>IF('2026'!G125="","",'2026'!G125)</f>
        <v>56</v>
      </c>
      <c r="H125" s="23">
        <f>IF('2026'!H125="","",'2026'!H125)</f>
        <v>54.32</v>
      </c>
      <c r="I125" s="24">
        <f>IF('2026'!I125="","",'2026'!I125)</f>
        <v>53.199999999999996</v>
      </c>
      <c r="J125" s="25">
        <f>IF('2026'!J125="","",'2026'!J125)</f>
        <v>52.64</v>
      </c>
    </row>
    <row r="126" spans="1:10" x14ac:dyDescent="0.2">
      <c r="A126" s="57" t="str">
        <f>IF('2026'!B126="","",'2026'!B126)</f>
        <v/>
      </c>
      <c r="B126" s="239" t="str">
        <f>IF('2026'!C126="","",'2026'!C126)</f>
        <v/>
      </c>
      <c r="C126" s="139" t="str">
        <f>IF('2026'!D126="","",'2026'!D126)</f>
        <v>Planting Mix: BG topsoil/compost/sand</v>
      </c>
      <c r="D126" s="292"/>
      <c r="E126" s="57" t="str">
        <f>IF('2026'!E126="","",'2026'!E126)</f>
        <v>ton</v>
      </c>
      <c r="F126" s="152">
        <f>IF('2026'!F126="","",'2026'!F126)</f>
        <v>96</v>
      </c>
      <c r="G126" s="35">
        <f>IF('2026'!G126="","",'2026'!G126)</f>
        <v>86</v>
      </c>
      <c r="H126" s="23">
        <f>IF('2026'!H126="","",'2026'!H126)</f>
        <v>83.42</v>
      </c>
      <c r="I126" s="24">
        <f>IF('2026'!I126="","",'2026'!I126)</f>
        <v>81.7</v>
      </c>
      <c r="J126" s="25">
        <f>IF('2026'!J126="","",'2026'!J126)</f>
        <v>80.839999999999989</v>
      </c>
    </row>
    <row r="127" spans="1:10" x14ac:dyDescent="0.2">
      <c r="A127" s="57" t="str">
        <f>IF('2026'!B127="","",'2026'!B127)</f>
        <v/>
      </c>
      <c r="B127" s="239" t="str">
        <f>IF('2026'!C127="","",'2026'!C127)</f>
        <v/>
      </c>
      <c r="C127" s="139" t="str">
        <f>IF('2026'!D127="","",'2026'!D127)</f>
        <v>Nature's Finest Compost</v>
      </c>
      <c r="D127" s="292"/>
      <c r="E127" s="57" t="str">
        <f>IF('2026'!E127="","",'2026'!E127)</f>
        <v>yard</v>
      </c>
      <c r="F127" s="152">
        <f>IF('2026'!F127="","",'2026'!F127)</f>
        <v>73</v>
      </c>
      <c r="G127" s="35">
        <f>IF('2026'!G127="","",'2026'!G127)</f>
        <v>56</v>
      </c>
      <c r="H127" s="23">
        <f>IF('2026'!H127="","",'2026'!H127)</f>
        <v>54.32</v>
      </c>
      <c r="I127" s="24">
        <f>IF('2026'!I127="","",'2026'!I127)</f>
        <v>53.199999999999996</v>
      </c>
      <c r="J127" s="25">
        <f>IF('2026'!J127="","",'2026'!J127)</f>
        <v>52.64</v>
      </c>
    </row>
    <row r="128" spans="1:10" x14ac:dyDescent="0.2">
      <c r="A128" s="57" t="str">
        <f>IF('2026'!B128="","",'2026'!B128)</f>
        <v/>
      </c>
      <c r="B128" s="239" t="str">
        <f>IF('2026'!C128="","",'2026'!C128)</f>
        <v/>
      </c>
      <c r="C128" s="139" t="str">
        <f>IF('2026'!D128="","",'2026'!D128)</f>
        <v>Unprocessed: sticks, rocks, clods, organic debris</v>
      </c>
      <c r="D128" s="292"/>
      <c r="E128" s="57" t="str">
        <f>IF('2026'!E128="","",'2026'!E128)</f>
        <v>ton</v>
      </c>
      <c r="F128" s="152">
        <f>IF('2026'!F128="","",'2026'!F128)</f>
        <v>46</v>
      </c>
      <c r="G128" s="35">
        <f>IF('2026'!G128="","",'2026'!G128)</f>
        <v>36</v>
      </c>
      <c r="H128" s="23">
        <f>IF('2026'!H128="","",'2026'!H128)</f>
        <v>34.92</v>
      </c>
      <c r="I128" s="24">
        <f>IF('2026'!I128="","",'2026'!I128)</f>
        <v>34.199999999999996</v>
      </c>
      <c r="J128" s="25">
        <f>IF('2026'!J128="","",'2026'!J128)</f>
        <v>33.839999999999996</v>
      </c>
    </row>
    <row r="129" spans="1:10" x14ac:dyDescent="0.2">
      <c r="A129" s="57" t="str">
        <f>IF('2026'!B129="","",'2026'!B129)</f>
        <v/>
      </c>
      <c r="B129" s="239" t="str">
        <f>IF('2026'!C129="","",'2026'!C129)</f>
        <v/>
      </c>
      <c r="C129" s="139" t="str">
        <f>IF('2026'!D129="","",'2026'!D129)</f>
        <v>Fill Dirt: sticks, rocks, clods, debris</v>
      </c>
      <c r="D129" s="292"/>
      <c r="E129" s="57" t="str">
        <f>IF('2026'!E129="","",'2026'!E129)</f>
        <v>ton</v>
      </c>
      <c r="F129" s="152">
        <f>IF('2026'!F129="","",'2026'!F129)</f>
        <v>36</v>
      </c>
      <c r="G129" s="35">
        <f>IF('2026'!G129="","",'2026'!G129)</f>
        <v>26</v>
      </c>
      <c r="H129" s="23">
        <f>IF('2026'!H129="","",'2026'!H129)</f>
        <v>25.22</v>
      </c>
      <c r="I129" s="24">
        <f>IF('2026'!I129="","",'2026'!I129)</f>
        <v>24.7</v>
      </c>
      <c r="J129" s="25">
        <f>IF('2026'!J129="","",'2026'!J129)</f>
        <v>24.439999999999998</v>
      </c>
    </row>
    <row r="130" spans="1:10" x14ac:dyDescent="0.2">
      <c r="A130" s="57" t="str">
        <f>IF('2026'!B130="","",'2026'!B130)</f>
        <v/>
      </c>
      <c r="B130" s="239" t="str">
        <f>IF('2026'!C130="","",'2026'!C130)</f>
        <v/>
      </c>
      <c r="C130" s="139" t="str">
        <f>IF('2026'!D130="","",'2026'!D130)</f>
        <v>Sandy Loam  * Limited Quantity Available *</v>
      </c>
      <c r="D130" s="293"/>
      <c r="E130" s="57" t="str">
        <f>IF('2026'!E130="","",'2026'!E130)</f>
        <v>ton</v>
      </c>
      <c r="F130" s="152">
        <f>IF('2026'!F130="","",'2026'!F130)</f>
        <v>42</v>
      </c>
      <c r="G130" s="35">
        <f>IF('2026'!G130="","",'2026'!G130)</f>
        <v>32</v>
      </c>
      <c r="H130" s="23">
        <f>IF('2026'!H130="","",'2026'!H130)</f>
        <v>31.04</v>
      </c>
      <c r="I130" s="24">
        <f>IF('2026'!I130="","",'2026'!I130)</f>
        <v>30.4</v>
      </c>
      <c r="J130" s="25">
        <f>IF('2026'!J130="","",'2026'!J130)</f>
        <v>30.08</v>
      </c>
    </row>
    <row r="131" spans="1:10" x14ac:dyDescent="0.2">
      <c r="A131" s="20"/>
      <c r="B131" s="49"/>
      <c r="C131" s="2" t="s">
        <v>114</v>
      </c>
      <c r="D131" s="20"/>
      <c r="E131" s="20"/>
      <c r="F131" s="48"/>
      <c r="G131" s="50"/>
      <c r="H131" s="50"/>
      <c r="I131" s="50"/>
      <c r="J131" s="50"/>
    </row>
    <row r="132" spans="1:10" ht="12" customHeight="1" x14ac:dyDescent="0.2">
      <c r="A132" s="57" t="str">
        <f>IF('2026'!B132="","",'2026'!B132)</f>
        <v/>
      </c>
      <c r="B132" s="239" t="str">
        <f>IF('2026'!C132="","",'2026'!C132)</f>
        <v/>
      </c>
      <c r="C132" s="139" t="str">
        <f>IF('2026'!D132="","",'2026'!D132)</f>
        <v>Hardwood</v>
      </c>
      <c r="D132" s="289" t="s">
        <v>388</v>
      </c>
      <c r="E132" s="57" t="str">
        <f>IF('2026'!E132="","",'2026'!E132)</f>
        <v>cu yd</v>
      </c>
      <c r="F132" s="152">
        <f>IF('2026'!F132="","",'2026'!F132)</f>
        <v>48</v>
      </c>
      <c r="G132" s="35">
        <f>IF('2026'!G132="","",'2026'!G132)</f>
        <v>33</v>
      </c>
      <c r="H132" s="23">
        <f>IF('2026'!H132="","",'2026'!H132)</f>
        <v>32.01</v>
      </c>
      <c r="I132" s="24">
        <f>IF('2026'!I132="","",'2026'!I132)</f>
        <v>31.349999999999998</v>
      </c>
      <c r="J132" s="25">
        <f>IF('2026'!J132="","",'2026'!J132)</f>
        <v>31.02</v>
      </c>
    </row>
    <row r="133" spans="1:10" ht="12" customHeight="1" x14ac:dyDescent="0.2">
      <c r="A133" s="57" t="str">
        <f>IF('2026'!B133="","",'2026'!B133)</f>
        <v/>
      </c>
      <c r="B133" s="239" t="str">
        <f>IF('2026'!C133="","",'2026'!C133)</f>
        <v/>
      </c>
      <c r="C133" s="139" t="str">
        <f>IF('2026'!D133="","",'2026'!D133)</f>
        <v>Ground Bark</v>
      </c>
      <c r="D133" s="292"/>
      <c r="E133" s="57" t="str">
        <f>IF('2026'!E133="","",'2026'!E133)</f>
        <v>cu yd</v>
      </c>
      <c r="F133" s="152">
        <f>IF('2026'!F133="","",'2026'!F133)</f>
        <v>63</v>
      </c>
      <c r="G133" s="35">
        <f>IF('2026'!G133="","",'2026'!G133)</f>
        <v>45</v>
      </c>
      <c r="H133" s="23">
        <f>IF('2026'!H133="","",'2026'!H133)</f>
        <v>43.65</v>
      </c>
      <c r="I133" s="24">
        <f>IF('2026'!I133="","",'2026'!I133)</f>
        <v>42.75</v>
      </c>
      <c r="J133" s="25">
        <f>IF('2026'!J133="","",'2026'!J133)</f>
        <v>42.3</v>
      </c>
    </row>
    <row r="134" spans="1:10" ht="12" customHeight="1" x14ac:dyDescent="0.2">
      <c r="A134" s="57" t="str">
        <f>IF('2026'!B134="","",'2026'!B134)</f>
        <v/>
      </c>
      <c r="B134" s="239" t="str">
        <f>IF('2026'!C134="","",'2026'!C134)</f>
        <v/>
      </c>
      <c r="C134" s="139" t="str">
        <f>IF('2026'!D134="","",'2026'!D134)</f>
        <v>Licorice</v>
      </c>
      <c r="D134" s="292"/>
      <c r="E134" s="57" t="str">
        <f>IF('2026'!E134="","",'2026'!E134)</f>
        <v>cu yd</v>
      </c>
      <c r="F134" s="152">
        <f>IF('2026'!F134="","",'2026'!F134)</f>
        <v>56</v>
      </c>
      <c r="G134" s="35">
        <f>IF('2026'!G134="","",'2026'!G134)</f>
        <v>39</v>
      </c>
      <c r="H134" s="23">
        <f>IF('2026'!H134="","",'2026'!H134)</f>
        <v>37.83</v>
      </c>
      <c r="I134" s="24">
        <f>IF('2026'!I134="","",'2026'!I134)</f>
        <v>37.049999999999997</v>
      </c>
      <c r="J134" s="25">
        <f>IF('2026'!J134="","",'2026'!J134)</f>
        <v>36.659999999999997</v>
      </c>
    </row>
    <row r="135" spans="1:10" ht="12" customHeight="1" x14ac:dyDescent="0.2">
      <c r="A135" s="57" t="str">
        <f>IF('2026'!B135="","",'2026'!B135)</f>
        <v/>
      </c>
      <c r="B135" s="239" t="str">
        <f>IF('2026'!C135="","",'2026'!C135)</f>
        <v/>
      </c>
      <c r="C135" s="139" t="str">
        <f>IF('2026'!D135="","",'2026'!D135)</f>
        <v>Cocoa</v>
      </c>
      <c r="D135" s="292"/>
      <c r="E135" s="57" t="str">
        <f>IF('2026'!E135="","",'2026'!E135)</f>
        <v>cu yd</v>
      </c>
      <c r="F135" s="152">
        <f>IF('2026'!F135="","",'2026'!F135)</f>
        <v>56</v>
      </c>
      <c r="G135" s="35">
        <f>IF('2026'!G135="","",'2026'!G135)</f>
        <v>39</v>
      </c>
      <c r="H135" s="23">
        <f>IF('2026'!H135="","",'2026'!H135)</f>
        <v>37.83</v>
      </c>
      <c r="I135" s="24">
        <f>IF('2026'!I135="","",'2026'!I135)</f>
        <v>37.049999999999997</v>
      </c>
      <c r="J135" s="25">
        <f>IF('2026'!J135="","",'2026'!J135)</f>
        <v>36.659999999999997</v>
      </c>
    </row>
    <row r="136" spans="1:10" ht="12" customHeight="1" x14ac:dyDescent="0.2">
      <c r="A136" s="57" t="str">
        <f>IF('2026'!B136="","",'2026'!B136)</f>
        <v/>
      </c>
      <c r="B136" s="239" t="str">
        <f>IF('2026'!C136="","",'2026'!C136)</f>
        <v/>
      </c>
      <c r="C136" s="139" t="str">
        <f>IF('2026'!D136="","",'2026'!D136)</f>
        <v>Coffee</v>
      </c>
      <c r="D136" s="292"/>
      <c r="E136" s="57" t="str">
        <f>IF('2026'!E136="","",'2026'!E136)</f>
        <v>cu yd</v>
      </c>
      <c r="F136" s="152">
        <f>IF('2026'!F136="","",'2026'!F136)</f>
        <v>56</v>
      </c>
      <c r="G136" s="35">
        <f>IF('2026'!G136="","",'2026'!G136)</f>
        <v>39</v>
      </c>
      <c r="H136" s="23">
        <f>IF('2026'!H136="","",'2026'!H136)</f>
        <v>37.83</v>
      </c>
      <c r="I136" s="24">
        <f>IF('2026'!I136="","",'2026'!I136)</f>
        <v>37.049999999999997</v>
      </c>
      <c r="J136" s="25">
        <f>IF('2026'!J136="","",'2026'!J136)</f>
        <v>36.659999999999997</v>
      </c>
    </row>
    <row r="137" spans="1:10" ht="12" customHeight="1" x14ac:dyDescent="0.2">
      <c r="A137" s="57" t="str">
        <f>IF('2026'!B137="","",'2026'!B137)</f>
        <v/>
      </c>
      <c r="B137" s="239" t="str">
        <f>IF('2026'!C137="","",'2026'!C137)</f>
        <v/>
      </c>
      <c r="C137" s="139" t="str">
        <f>IF('2026'!D137="","",'2026'!D137)</f>
        <v>Cedar</v>
      </c>
      <c r="D137" s="292"/>
      <c r="E137" s="57" t="str">
        <f>IF('2026'!E137="","",'2026'!E137)</f>
        <v>cu yd</v>
      </c>
      <c r="F137" s="152">
        <f>IF('2026'!F137="","",'2026'!F137)</f>
        <v>82</v>
      </c>
      <c r="G137" s="35">
        <f>IF('2026'!G137="","",'2026'!G137)</f>
        <v>61</v>
      </c>
      <c r="H137" s="23">
        <f>IF('2026'!H137="","",'2026'!H137)</f>
        <v>59.17</v>
      </c>
      <c r="I137" s="24">
        <f>IF('2026'!I137="","",'2026'!I137)</f>
        <v>57.949999999999996</v>
      </c>
      <c r="J137" s="25">
        <f>IF('2026'!J137="","",'2026'!J137)</f>
        <v>57.339999999999996</v>
      </c>
    </row>
    <row r="138" spans="1:10" ht="12" customHeight="1" x14ac:dyDescent="0.2">
      <c r="A138" s="57" t="str">
        <f>IF('2026'!B138="","",'2026'!B138)</f>
        <v/>
      </c>
      <c r="B138" s="239" t="str">
        <f>IF('2026'!C138="","",'2026'!C138)</f>
        <v/>
      </c>
      <c r="C138" s="139" t="str">
        <f>IF('2026'!D138="","",'2026'!D138)</f>
        <v>Pine Bark</v>
      </c>
      <c r="D138" s="292"/>
      <c r="E138" s="57" t="str">
        <f>IF('2026'!E138="","",'2026'!E138)</f>
        <v>cu yd</v>
      </c>
      <c r="F138" s="152">
        <f>IF('2026'!F138="","",'2026'!F138)</f>
        <v>83</v>
      </c>
      <c r="G138" s="35">
        <f>IF('2026'!G138="","",'2026'!G138)</f>
        <v>59</v>
      </c>
      <c r="H138" s="23">
        <f>IF('2026'!H138="","",'2026'!H138)</f>
        <v>57.23</v>
      </c>
      <c r="I138" s="24">
        <f>IF('2026'!I138="","",'2026'!I138)</f>
        <v>56.05</v>
      </c>
      <c r="J138" s="25">
        <f>IF('2026'!J138="","",'2026'!J138)</f>
        <v>55.459999999999994</v>
      </c>
    </row>
    <row r="139" spans="1:10" ht="12" customHeight="1" x14ac:dyDescent="0.2">
      <c r="A139" s="57" t="str">
        <f>IF('2026'!B139="","",'2026'!B139)</f>
        <v/>
      </c>
      <c r="B139" s="239" t="str">
        <f>IF('2026'!C139="","",'2026'!C139)</f>
        <v/>
      </c>
      <c r="C139" s="139" t="str">
        <f>IF('2026'!D139="","",'2026'!D139)</f>
        <v>Pine Bark Chips</v>
      </c>
      <c r="D139" s="293"/>
      <c r="E139" s="57" t="str">
        <f>IF('2026'!E139="","",'2026'!E139)</f>
        <v>cu yd</v>
      </c>
      <c r="F139" s="152">
        <f>IF('2026'!F139="","",'2026'!F139)</f>
        <v>83</v>
      </c>
      <c r="G139" s="35">
        <f>IF('2026'!G139="","",'2026'!G139)</f>
        <v>65</v>
      </c>
      <c r="H139" s="23">
        <f>IF('2026'!H139="","",'2026'!H139)</f>
        <v>63.05</v>
      </c>
      <c r="I139" s="24">
        <f>IF('2026'!I139="","",'2026'!I139)</f>
        <v>61.75</v>
      </c>
      <c r="J139" s="25">
        <f>IF('2026'!J139="","",'2026'!J139)</f>
        <v>61.099999999999994</v>
      </c>
    </row>
    <row r="140" spans="1:10" x14ac:dyDescent="0.2">
      <c r="A140" s="20"/>
      <c r="B140" s="49"/>
      <c r="C140" s="2" t="s">
        <v>122</v>
      </c>
      <c r="D140" s="20"/>
      <c r="E140" s="14"/>
      <c r="F140" s="48"/>
      <c r="G140" s="48"/>
      <c r="H140" s="48"/>
      <c r="I140" s="48"/>
      <c r="J140" s="48"/>
    </row>
    <row r="141" spans="1:10" x14ac:dyDescent="0.2">
      <c r="A141" s="57" t="str">
        <f>IF('2026'!B141="","",'2026'!B141)</f>
        <v/>
      </c>
      <c r="B141" s="239" t="str">
        <f>IF('2026'!C141="","",'2026'!C141)</f>
        <v/>
      </c>
      <c r="C141" s="139" t="str">
        <f>IF('2026'!D141="","",'2026'!D141)</f>
        <v>Straw Blanket - Single Sided - 100sqyds 8'x112.5'</v>
      </c>
      <c r="D141" s="147"/>
      <c r="E141" s="57" t="str">
        <f>IF('2026'!E141="","",'2026'!E141)</f>
        <v>each</v>
      </c>
      <c r="F141" s="152">
        <f>IF('2026'!F141="","",'2026'!F141)</f>
        <v>72</v>
      </c>
      <c r="G141" s="35">
        <f>IF('2026'!G141="","",'2026'!G141)</f>
        <v>49</v>
      </c>
      <c r="H141" s="23">
        <f>IF('2026'!H141="","",'2026'!H141)</f>
        <v>47.53</v>
      </c>
      <c r="I141" s="24">
        <f>IF('2026'!I141="","",'2026'!I141)</f>
        <v>46.55</v>
      </c>
      <c r="J141" s="25">
        <f>IF('2026'!J141="","",'2026'!J141)</f>
        <v>46.059999999999995</v>
      </c>
    </row>
    <row r="142" spans="1:10" x14ac:dyDescent="0.2">
      <c r="A142" s="57" t="str">
        <f>IF('2026'!B142="","",'2026'!B142)</f>
        <v/>
      </c>
      <c r="B142" s="239" t="str">
        <f>IF('2026'!C142="","",'2026'!C142)</f>
        <v/>
      </c>
      <c r="C142" s="139" t="str">
        <f>IF('2026'!D142="","",'2026'!D142)</f>
        <v>Silt Soxx - 8"x160ft - w/ stakes</v>
      </c>
      <c r="D142" s="147" t="s">
        <v>393</v>
      </c>
      <c r="E142" s="57" t="str">
        <f>IF('2026'!E142="","",'2026'!E142)</f>
        <v>each</v>
      </c>
      <c r="F142" s="152">
        <f>IF('2026'!F142="","",'2026'!F142)</f>
        <v>475</v>
      </c>
      <c r="G142" s="35">
        <f>IF('2026'!G142="","",'2026'!G142)</f>
        <v>350</v>
      </c>
      <c r="H142" s="23">
        <f>IF('2026'!H142="","",'2026'!H142)</f>
        <v>339.5</v>
      </c>
      <c r="I142" s="24">
        <f>IF('2026'!I142="","",'2026'!I142)</f>
        <v>332.5</v>
      </c>
      <c r="J142" s="25">
        <f>IF('2026'!J142="","",'2026'!J142)</f>
        <v>329</v>
      </c>
    </row>
    <row r="143" spans="1:10" x14ac:dyDescent="0.2">
      <c r="A143" s="57" t="str">
        <f>IF('2026'!B143="","",'2026'!B143)</f>
        <v/>
      </c>
      <c r="B143" s="239" t="str">
        <f>IF('2026'!C143="","",'2026'!C143)</f>
        <v/>
      </c>
      <c r="C143" s="139" t="str">
        <f>IF('2026'!D143="","",'2026'!D143)</f>
        <v xml:space="preserve">Silt Soxx - 8"x10ft </v>
      </c>
      <c r="D143" s="147" t="s">
        <v>394</v>
      </c>
      <c r="E143" s="57" t="str">
        <f>IF('2026'!E143="","",'2026'!E143)</f>
        <v>each</v>
      </c>
      <c r="F143" s="152">
        <f>IF('2026'!F143="","",'2026'!F143)</f>
        <v>38</v>
      </c>
      <c r="G143" s="35">
        <f>IF('2026'!G143="","",'2026'!G143)</f>
        <v>29</v>
      </c>
      <c r="H143" s="23">
        <f>IF('2026'!H143="","",'2026'!H143)</f>
        <v>28.13</v>
      </c>
      <c r="I143" s="24">
        <f>IF('2026'!I143="","",'2026'!I143)</f>
        <v>27.549999999999997</v>
      </c>
      <c r="J143" s="25">
        <f>IF('2026'!J143="","",'2026'!J143)</f>
        <v>27.259999999999998</v>
      </c>
    </row>
    <row r="144" spans="1:10" x14ac:dyDescent="0.2">
      <c r="A144" s="57" t="str">
        <f>IF('2026'!B144="","",'2026'!B144)</f>
        <v/>
      </c>
      <c r="B144" s="239" t="str">
        <f>IF('2026'!C144="","",'2026'!C144)</f>
        <v/>
      </c>
      <c r="C144" s="139" t="str">
        <f>IF('2026'!D144="","",'2026'!D144)</f>
        <v>20 YR 3x50 Premium Landscape Fabric</v>
      </c>
      <c r="D144" s="147" t="s">
        <v>395</v>
      </c>
      <c r="E144" s="57" t="str">
        <f>IF('2026'!E144="","",'2026'!E144)</f>
        <v>roll</v>
      </c>
      <c r="F144" s="152">
        <f>IF('2026'!F144="","",'2026'!F144)</f>
        <v>34</v>
      </c>
      <c r="G144" s="35">
        <f>IF('2026'!G144="","",'2026'!G144)</f>
        <v>24</v>
      </c>
      <c r="H144" s="23">
        <f>IF('2026'!H144="","",'2026'!H144)</f>
        <v>23.28</v>
      </c>
      <c r="I144" s="24">
        <f>IF('2026'!I144="","",'2026'!I144)</f>
        <v>22.799999999999997</v>
      </c>
      <c r="J144" s="25">
        <f>IF('2026'!J144="","",'2026'!J144)</f>
        <v>22.56</v>
      </c>
    </row>
    <row r="145" spans="1:10" x14ac:dyDescent="0.2">
      <c r="A145" s="57" t="str">
        <f>IF('2026'!B145="","",'2026'!B145)</f>
        <v/>
      </c>
      <c r="B145" s="239" t="str">
        <f>IF('2026'!C145="","",'2026'!C145)</f>
        <v/>
      </c>
      <c r="C145" s="139" t="str">
        <f>IF('2026'!D145="","",'2026'!D145)</f>
        <v>20 YR 4x300 Silver Elite General Landscape Fabric</v>
      </c>
      <c r="D145" s="147" t="s">
        <v>396</v>
      </c>
      <c r="E145" s="57" t="str">
        <f>IF('2026'!E145="","",'2026'!E145)</f>
        <v>roll</v>
      </c>
      <c r="F145" s="152">
        <f>IF('2026'!F145="","",'2026'!F145)</f>
        <v>175</v>
      </c>
      <c r="G145" s="35">
        <f>IF('2026'!G145="","",'2026'!G145)</f>
        <v>125</v>
      </c>
      <c r="H145" s="23">
        <f>IF('2026'!H145="","",'2026'!H145)</f>
        <v>121.25</v>
      </c>
      <c r="I145" s="24">
        <f>IF('2026'!I145="","",'2026'!I145)</f>
        <v>118.75</v>
      </c>
      <c r="J145" s="25">
        <f>IF('2026'!J145="","",'2026'!J145)</f>
        <v>117.5</v>
      </c>
    </row>
    <row r="146" spans="1:10" x14ac:dyDescent="0.2">
      <c r="A146" s="57" t="str">
        <f>IF('2026'!B146="","",'2026'!B146)</f>
        <v/>
      </c>
      <c r="B146" s="239" t="str">
        <f>IF('2026'!C146="","",'2026'!C146)</f>
        <v/>
      </c>
      <c r="C146" s="139" t="str">
        <f>IF('2026'!D146="","",'2026'!D146)</f>
        <v>20 YR 6x300 Silver Elite General Landscape Fabric</v>
      </c>
      <c r="D146" s="147" t="s">
        <v>397</v>
      </c>
      <c r="E146" s="57" t="str">
        <f>IF('2026'!E146="","",'2026'!E146)</f>
        <v>roll</v>
      </c>
      <c r="F146" s="152">
        <f>IF('2026'!F146="","",'2026'!F146)</f>
        <v>251</v>
      </c>
      <c r="G146" s="35">
        <f>IF('2026'!G146="","",'2026'!G146)</f>
        <v>179</v>
      </c>
      <c r="H146" s="23">
        <f>IF('2026'!H146="","",'2026'!H146)</f>
        <v>173.63</v>
      </c>
      <c r="I146" s="24">
        <f>IF('2026'!I146="","",'2026'!I146)</f>
        <v>170.04999999999998</v>
      </c>
      <c r="J146" s="25">
        <f>IF('2026'!J146="","",'2026'!J146)</f>
        <v>168.26</v>
      </c>
    </row>
    <row r="147" spans="1:10" x14ac:dyDescent="0.2">
      <c r="A147" s="57" t="str">
        <f>IF('2026'!B147="","",'2026'!B147)</f>
        <v/>
      </c>
      <c r="B147" s="239" t="str">
        <f>IF('2026'!C147="","",'2026'!C147)</f>
        <v/>
      </c>
      <c r="C147" s="139" t="str">
        <f>IF('2026'!D147="","",'2026'!D147)</f>
        <v>25 YR BULK 4x250 Premium Landscape Fabric</v>
      </c>
      <c r="D147" s="147" t="s">
        <v>398</v>
      </c>
      <c r="E147" s="57" t="str">
        <f>IF('2026'!E147="","",'2026'!E147)</f>
        <v>roll</v>
      </c>
      <c r="F147" s="152">
        <f>IF('2026'!F147="","",'2026'!F147)</f>
        <v>217</v>
      </c>
      <c r="G147" s="35">
        <f>IF('2026'!G147="","",'2026'!G147)</f>
        <v>155</v>
      </c>
      <c r="H147" s="23">
        <f>IF('2026'!H147="","",'2026'!H147)</f>
        <v>150.35</v>
      </c>
      <c r="I147" s="24">
        <f>IF('2026'!I147="","",'2026'!I147)</f>
        <v>147.25</v>
      </c>
      <c r="J147" s="25">
        <f>IF('2026'!J147="","",'2026'!J147)</f>
        <v>145.69999999999999</v>
      </c>
    </row>
    <row r="148" spans="1:10" x14ac:dyDescent="0.2">
      <c r="A148" s="57" t="str">
        <f>IF('2026'!B148="","",'2026'!B148)</f>
        <v/>
      </c>
      <c r="B148" s="239" t="str">
        <f>IF('2026'!C148="","",'2026'!C148)</f>
        <v/>
      </c>
      <c r="C148" s="139" t="str">
        <f>IF('2026'!D148="","",'2026'!D148)</f>
        <v>25 YR BULK 6x250 Premium Landscape Fabric</v>
      </c>
      <c r="D148" s="147" t="s">
        <v>399</v>
      </c>
      <c r="E148" s="57" t="str">
        <f>IF('2026'!E148="","",'2026'!E148)</f>
        <v>roll</v>
      </c>
      <c r="F148" s="152">
        <f>IF('2026'!F148="","",'2026'!F148)</f>
        <v>309</v>
      </c>
      <c r="G148" s="35">
        <f>IF('2026'!G148="","",'2026'!G148)</f>
        <v>221</v>
      </c>
      <c r="H148" s="23">
        <f>IF('2026'!H148="","",'2026'!H148)</f>
        <v>214.37</v>
      </c>
      <c r="I148" s="24">
        <f>IF('2026'!I148="","",'2026'!I148)</f>
        <v>209.95</v>
      </c>
      <c r="J148" s="25">
        <f>IF('2026'!J148="","",'2026'!J148)</f>
        <v>207.73999999999998</v>
      </c>
    </row>
    <row r="149" spans="1:10" x14ac:dyDescent="0.2">
      <c r="A149" s="57" t="str">
        <f>IF('2026'!B149="","",'2026'!B149)</f>
        <v/>
      </c>
      <c r="B149" s="239" t="str">
        <f>IF('2026'!C149="","",'2026'!C149)</f>
        <v/>
      </c>
      <c r="C149" s="139" t="str">
        <f>IF('2026'!D149="","",'2026'!D149)</f>
        <v>4x300 Ground Cover Pro</v>
      </c>
      <c r="D149" s="147" t="s">
        <v>396</v>
      </c>
      <c r="E149" s="57" t="str">
        <f>IF('2026'!E149="","",'2026'!E149)</f>
        <v>roll</v>
      </c>
      <c r="F149" s="152">
        <f>IF('2026'!F149="","",'2026'!F149)</f>
        <v>170</v>
      </c>
      <c r="G149" s="35">
        <f>IF('2026'!G149="","",'2026'!G149)</f>
        <v>110.5</v>
      </c>
      <c r="H149" s="23">
        <f>IF('2026'!H149="","",'2026'!H149)</f>
        <v>107.185</v>
      </c>
      <c r="I149" s="24">
        <f>IF('2026'!I149="","",'2026'!I149)</f>
        <v>104.97499999999999</v>
      </c>
      <c r="J149" s="25">
        <f>IF('2026'!J149="","",'2026'!J149)</f>
        <v>103.86999999999999</v>
      </c>
    </row>
    <row r="150" spans="1:10" x14ac:dyDescent="0.2">
      <c r="A150" s="57" t="str">
        <f>IF('2026'!B150="","",'2026'!B150)</f>
        <v/>
      </c>
      <c r="B150" s="239" t="str">
        <f>IF('2026'!C150="","",'2026'!C150)</f>
        <v/>
      </c>
      <c r="C150" s="139" t="str">
        <f>IF('2026'!D150="","",'2026'!D150)</f>
        <v>6x100 SS5 Stabilization Fabric</v>
      </c>
      <c r="D150" s="147" t="s">
        <v>400</v>
      </c>
      <c r="E150" s="57" t="str">
        <f>IF('2026'!E150="","",'2026'!E150)</f>
        <v>roll</v>
      </c>
      <c r="F150" s="152">
        <f>IF('2026'!F150="","",'2026'!F150)</f>
        <v>167</v>
      </c>
      <c r="G150" s="35">
        <f>IF('2026'!G150="","",'2026'!G150)</f>
        <v>119</v>
      </c>
      <c r="H150" s="23">
        <f>IF('2026'!H150="","",'2026'!H150)</f>
        <v>115.42999999999999</v>
      </c>
      <c r="I150" s="24">
        <f>IF('2026'!I150="","",'2026'!I150)</f>
        <v>113.05</v>
      </c>
      <c r="J150" s="25">
        <f>IF('2026'!J150="","",'2026'!J150)</f>
        <v>111.86</v>
      </c>
    </row>
    <row r="151" spans="1:10" x14ac:dyDescent="0.2">
      <c r="A151" s="57" t="str">
        <f>IF('2026'!B151="","",'2026'!B151)</f>
        <v/>
      </c>
      <c r="B151" s="239" t="str">
        <f>IF('2026'!C151="","",'2026'!C151)</f>
        <v/>
      </c>
      <c r="C151" s="139" t="str">
        <f>IF('2026'!D151="","",'2026'!D151)</f>
        <v>4x50 Landscape/Filter Fabric 3.0</v>
      </c>
      <c r="D151" s="147" t="s">
        <v>401</v>
      </c>
      <c r="E151" s="57" t="str">
        <f>IF('2026'!E151="","",'2026'!E151)</f>
        <v>roll</v>
      </c>
      <c r="F151" s="152">
        <f>IF('2026'!F151="","",'2026'!F151)</f>
        <v>43</v>
      </c>
      <c r="G151" s="35">
        <f>IF('2026'!G151="","",'2026'!G151)</f>
        <v>28</v>
      </c>
      <c r="H151" s="23">
        <f>IF('2026'!H151="","",'2026'!H151)</f>
        <v>27.16</v>
      </c>
      <c r="I151" s="24">
        <f>IF('2026'!I151="","",'2026'!I151)</f>
        <v>26.599999999999998</v>
      </c>
      <c r="J151" s="25">
        <f>IF('2026'!J151="","",'2026'!J151)</f>
        <v>26.32</v>
      </c>
    </row>
    <row r="152" spans="1:10" x14ac:dyDescent="0.2">
      <c r="A152" s="57" t="str">
        <f>IF('2026'!B152="","",'2026'!B152)</f>
        <v/>
      </c>
      <c r="B152" s="239" t="str">
        <f>IF('2026'!C152="","",'2026'!C152)</f>
        <v/>
      </c>
      <c r="C152" s="139" t="str">
        <f>IF('2026'!D152="","",'2026'!D152)</f>
        <v>6x300 Drainage/Filter Fabric 4.5</v>
      </c>
      <c r="D152" s="147" t="s">
        <v>397</v>
      </c>
      <c r="E152" s="57" t="str">
        <f>IF('2026'!E152="","",'2026'!E152)</f>
        <v>roll</v>
      </c>
      <c r="F152" s="152">
        <f>IF('2026'!F152="","",'2026'!F152)</f>
        <v>495</v>
      </c>
      <c r="G152" s="35">
        <f>IF('2026'!G152="","",'2026'!G152)</f>
        <v>330</v>
      </c>
      <c r="H152" s="23">
        <f>IF('2026'!H152="","",'2026'!H152)</f>
        <v>320.09999999999997</v>
      </c>
      <c r="I152" s="24">
        <f>IF('2026'!I152="","",'2026'!I152)</f>
        <v>313.5</v>
      </c>
      <c r="J152" s="25">
        <f>IF('2026'!J152="","",'2026'!J152)</f>
        <v>310.2</v>
      </c>
    </row>
    <row r="153" spans="1:10" x14ac:dyDescent="0.2">
      <c r="A153" s="57" t="str">
        <f>IF('2026'!B153="","",'2026'!B153)</f>
        <v/>
      </c>
      <c r="B153" s="239" t="str">
        <f>IF('2026'!C153="","",'2026'!C153)</f>
        <v/>
      </c>
      <c r="C153" s="139" t="str">
        <f>IF('2026'!D153="","",'2026'!D153)</f>
        <v>6" Sod/Anchor Pins - 1000 count</v>
      </c>
      <c r="D153" s="147" t="s">
        <v>402</v>
      </c>
      <c r="E153" s="57" t="str">
        <f>IF('2026'!E153="","",'2026'!E153)</f>
        <v>box</v>
      </c>
      <c r="F153" s="152">
        <f>IF('2026'!F153="","",'2026'!F153)</f>
        <v>79</v>
      </c>
      <c r="G153" s="35">
        <f>IF('2026'!G153="","",'2026'!G153)</f>
        <v>60</v>
      </c>
      <c r="H153" s="23">
        <f>IF('2026'!H153="","",'2026'!H153)</f>
        <v>58.199999999999996</v>
      </c>
      <c r="I153" s="24">
        <f>IF('2026'!I153="","",'2026'!I153)</f>
        <v>57</v>
      </c>
      <c r="J153" s="25">
        <f>IF('2026'!J153="","",'2026'!J153)</f>
        <v>56.4</v>
      </c>
    </row>
    <row r="154" spans="1:10" x14ac:dyDescent="0.2">
      <c r="A154" s="57" t="str">
        <f>IF('2026'!B154="","",'2026'!B154)</f>
        <v/>
      </c>
      <c r="B154" s="239" t="str">
        <f>IF('2026'!C154="","",'2026'!C154)</f>
        <v/>
      </c>
      <c r="C154" s="139" t="str">
        <f>IF('2026'!D154="","",'2026'!D154)</f>
        <v>6" Anchor Pins - 20 count</v>
      </c>
      <c r="D154" s="147" t="s">
        <v>403</v>
      </c>
      <c r="E154" s="57" t="str">
        <f>IF('2026'!E154="","",'2026'!E154)</f>
        <v>pack</v>
      </c>
      <c r="F154" s="152">
        <f>IF('2026'!F154="","",'2026'!F154)</f>
        <v>5</v>
      </c>
      <c r="G154" s="35">
        <f>IF('2026'!G154="","",'2026'!G154)</f>
        <v>4</v>
      </c>
      <c r="H154" s="23">
        <f>IF('2026'!H154="","",'2026'!H154)</f>
        <v>3.88</v>
      </c>
      <c r="I154" s="24">
        <f>IF('2026'!I154="","",'2026'!I154)</f>
        <v>3.8</v>
      </c>
      <c r="J154" s="25">
        <f>IF('2026'!J154="","",'2026'!J154)</f>
        <v>3.76</v>
      </c>
    </row>
    <row r="155" spans="1:10" x14ac:dyDescent="0.2">
      <c r="A155" s="57" t="str">
        <f>IF('2026'!B155="","",'2026'!B155)</f>
        <v/>
      </c>
      <c r="B155" s="239" t="str">
        <f>IF('2026'!C155="","",'2026'!C155)</f>
        <v/>
      </c>
      <c r="C155" s="139" t="str">
        <f>IF('2026'!D155="","",'2026'!D155)</f>
        <v>Circle Top Pins - 1000 count</v>
      </c>
      <c r="D155" s="147" t="s">
        <v>402</v>
      </c>
      <c r="E155" s="57" t="str">
        <f>IF('2026'!E155="","",'2026'!E155)</f>
        <v>box</v>
      </c>
      <c r="F155" s="152">
        <f>IF('2026'!F155="","",'2026'!F155)</f>
        <v>95</v>
      </c>
      <c r="G155" s="35">
        <f>IF('2026'!G155="","",'2026'!G155)</f>
        <v>73</v>
      </c>
      <c r="H155" s="23">
        <f>IF('2026'!H155="","",'2026'!H155)</f>
        <v>70.81</v>
      </c>
      <c r="I155" s="24">
        <f>IF('2026'!I155="","",'2026'!I155)</f>
        <v>69.349999999999994</v>
      </c>
      <c r="J155" s="25">
        <f>IF('2026'!J155="","",'2026'!J155)</f>
        <v>68.61999999999999</v>
      </c>
    </row>
    <row r="156" spans="1:10" x14ac:dyDescent="0.2">
      <c r="A156" s="57" t="str">
        <f>IF('2026'!B156="","",'2026'!B156)</f>
        <v/>
      </c>
      <c r="B156" s="239" t="str">
        <f>IF('2026'!C156="","",'2026'!C156)</f>
        <v/>
      </c>
      <c r="C156" s="139" t="str">
        <f>IF('2026'!D156="","",'2026'!D156)</f>
        <v>Pin Pounder</v>
      </c>
      <c r="D156" s="147"/>
      <c r="E156" s="57" t="str">
        <f>IF('2026'!E156="","",'2026'!E156)</f>
        <v>each</v>
      </c>
      <c r="F156" s="152">
        <f>IF('2026'!F156="","",'2026'!F156)</f>
        <v>74</v>
      </c>
      <c r="G156" s="35">
        <f>IF('2026'!G156="","",'2026'!G156)</f>
        <v>57</v>
      </c>
      <c r="H156" s="23">
        <f>IF('2026'!H156="","",'2026'!H156)</f>
        <v>55.29</v>
      </c>
      <c r="I156" s="24">
        <f>IF('2026'!I156="","",'2026'!I156)</f>
        <v>54.15</v>
      </c>
      <c r="J156" s="25">
        <f>IF('2026'!J156="","",'2026'!J156)</f>
        <v>53.58</v>
      </c>
    </row>
    <row r="157" spans="1:10" x14ac:dyDescent="0.2">
      <c r="A157" s="20"/>
      <c r="B157" s="49"/>
      <c r="C157" s="2" t="s">
        <v>137</v>
      </c>
      <c r="D157" s="20"/>
      <c r="E157" s="14"/>
      <c r="F157" s="48"/>
      <c r="G157" s="48"/>
      <c r="H157" s="48"/>
      <c r="I157" s="48"/>
      <c r="J157" s="48"/>
    </row>
    <row r="158" spans="1:10" x14ac:dyDescent="0.2">
      <c r="A158" s="57" t="str">
        <f>IF('2026'!B158="","",'2026'!B158)</f>
        <v/>
      </c>
      <c r="B158" s="239" t="str">
        <f>IF('2026'!C158="","",'2026'!C158)</f>
        <v/>
      </c>
      <c r="C158" s="139" t="str">
        <f>IF('2026'!D158="","",'2026'!D158)</f>
        <v>SRW Series3 GeoGrid - 6x150</v>
      </c>
      <c r="D158" s="147" t="s">
        <v>404</v>
      </c>
      <c r="E158" s="57" t="str">
        <f>IF('2026'!E158="","",'2026'!E158)</f>
        <v>roll</v>
      </c>
      <c r="F158" s="152">
        <f>IF('2026'!F158="","",'2026'!F158)</f>
        <v>340</v>
      </c>
      <c r="G158" s="35">
        <f>IF('2026'!G158="","",'2026'!G158)</f>
        <v>257</v>
      </c>
      <c r="H158" s="23">
        <f>IF('2026'!H158="","",'2026'!H158)</f>
        <v>249.29</v>
      </c>
      <c r="I158" s="24">
        <f>IF('2026'!I158="","",'2026'!I158)</f>
        <v>244.14999999999998</v>
      </c>
      <c r="J158" s="25">
        <f>IF('2026'!J158="","",'2026'!J158)</f>
        <v>241.57999999999998</v>
      </c>
    </row>
    <row r="159" spans="1:10" x14ac:dyDescent="0.2">
      <c r="A159" s="57" t="str">
        <f>IF('2026'!B159="","",'2026'!B159)</f>
        <v/>
      </c>
      <c r="B159" s="239" t="str">
        <f>IF('2026'!C159="","",'2026'!C159)</f>
        <v/>
      </c>
      <c r="C159" s="139" t="str">
        <f>IF('2026'!D159="","",'2026'!D159)</f>
        <v>Universal Paver Rail</v>
      </c>
      <c r="D159" s="147" t="s">
        <v>405</v>
      </c>
      <c r="E159" s="57" t="str">
        <f>IF('2026'!E159="","",'2026'!E159)</f>
        <v>each</v>
      </c>
      <c r="F159" s="152">
        <f>IF('2026'!F159="","",'2026'!F159)</f>
        <v>17</v>
      </c>
      <c r="G159" s="35">
        <f>IF('2026'!G159="","",'2026'!G159)</f>
        <v>13</v>
      </c>
      <c r="H159" s="23">
        <f>IF('2026'!H159="","",'2026'!H159)</f>
        <v>12.61</v>
      </c>
      <c r="I159" s="24">
        <f>IF('2026'!I159="","",'2026'!I159)</f>
        <v>12.35</v>
      </c>
      <c r="J159" s="25">
        <f>IF('2026'!J159="","",'2026'!J159)</f>
        <v>12.219999999999999</v>
      </c>
    </row>
    <row r="160" spans="1:10" x14ac:dyDescent="0.2">
      <c r="A160" s="57" t="str">
        <f>IF('2026'!B160="","",'2026'!B160)</f>
        <v/>
      </c>
      <c r="B160" s="239" t="str">
        <f>IF('2026'!C160="","",'2026'!C160)</f>
        <v/>
      </c>
      <c r="C160" s="139" t="str">
        <f>IF('2026'!D160="","",'2026'!D160)</f>
        <v>10" Spikes - 50 lb (single=$0.60 each)</v>
      </c>
      <c r="D160" s="147" t="s">
        <v>406</v>
      </c>
      <c r="E160" s="57" t="str">
        <f>IF('2026'!E160="","",'2026'!E160)</f>
        <v>box</v>
      </c>
      <c r="F160" s="152">
        <f>IF('2026'!F160="","",'2026'!F160)</f>
        <v>102</v>
      </c>
      <c r="G160" s="35">
        <f>IF('2026'!G160="","",'2026'!G160)</f>
        <v>70</v>
      </c>
      <c r="H160" s="23">
        <f>IF('2026'!H160="","",'2026'!H160)</f>
        <v>67.899999999999991</v>
      </c>
      <c r="I160" s="24">
        <f>IF('2026'!I160="","",'2026'!I160)</f>
        <v>66.5</v>
      </c>
      <c r="J160" s="25">
        <f>IF('2026'!J160="","",'2026'!J160)</f>
        <v>65.8</v>
      </c>
    </row>
    <row r="161" spans="1:10" x14ac:dyDescent="0.2">
      <c r="A161" s="57" t="str">
        <f>IF('2026'!B161="","",'2026'!B161)</f>
        <v/>
      </c>
      <c r="B161" s="239" t="str">
        <f>IF('2026'!C161="","",'2026'!C161)</f>
        <v/>
      </c>
      <c r="C161" s="139" t="str">
        <f>IF('2026'!D161="","",'2026'!D161)</f>
        <v>SRW Adhesive - 10 oz</v>
      </c>
      <c r="D161" s="147" t="s">
        <v>407</v>
      </c>
      <c r="E161" s="57" t="str">
        <f>IF('2026'!E161="","",'2026'!E161)</f>
        <v>each</v>
      </c>
      <c r="F161" s="152">
        <f>IF('2026'!F161="","",'2026'!F161)</f>
        <v>9</v>
      </c>
      <c r="G161" s="35">
        <f>IF('2026'!G161="","",'2026'!G161)</f>
        <v>7</v>
      </c>
      <c r="H161" s="23">
        <f>IF('2026'!H161="","",'2026'!H161)</f>
        <v>6.79</v>
      </c>
      <c r="I161" s="24">
        <f>IF('2026'!I161="","",'2026'!I161)</f>
        <v>6.6499999999999995</v>
      </c>
      <c r="J161" s="25">
        <f>IF('2026'!J161="","",'2026'!J161)</f>
        <v>6.58</v>
      </c>
    </row>
    <row r="162" spans="1:10" x14ac:dyDescent="0.2">
      <c r="A162" s="57" t="str">
        <f>IF('2026'!B162="","",'2026'!B162)</f>
        <v/>
      </c>
      <c r="B162" s="239" t="str">
        <f>IF('2026'!C162="","",'2026'!C162)</f>
        <v/>
      </c>
      <c r="C162" s="139" t="str">
        <f>IF('2026'!D162="","",'2026'!D162)</f>
        <v>SRW Adhesive - 28 oz</v>
      </c>
      <c r="D162" s="147" t="s">
        <v>408</v>
      </c>
      <c r="E162" s="57" t="str">
        <f>IF('2026'!E162="","",'2026'!E162)</f>
        <v>each</v>
      </c>
      <c r="F162" s="152">
        <f>IF('2026'!F162="","",'2026'!F162)</f>
        <v>18</v>
      </c>
      <c r="G162" s="35">
        <f>IF('2026'!G162="","",'2026'!G162)</f>
        <v>13</v>
      </c>
      <c r="H162" s="23">
        <f>IF('2026'!H162="","",'2026'!H162)</f>
        <v>12.61</v>
      </c>
      <c r="I162" s="24">
        <f>IF('2026'!I162="","",'2026'!I162)</f>
        <v>12.35</v>
      </c>
      <c r="J162" s="25">
        <f>IF('2026'!J162="","",'2026'!J162)</f>
        <v>12.219999999999999</v>
      </c>
    </row>
    <row r="163" spans="1:10" x14ac:dyDescent="0.2">
      <c r="A163" s="57" t="str">
        <f>IF('2026'!B163="","",'2026'!B163)</f>
        <v/>
      </c>
      <c r="B163" s="239" t="str">
        <f>IF('2026'!C163="","",'2026'!C163)</f>
        <v/>
      </c>
      <c r="C163" s="139" t="str">
        <f>IF('2026'!D163="","",'2026'!D163)</f>
        <v>SRW Vertical Instant Lock - 9.5 oz</v>
      </c>
      <c r="D163" s="147" t="s">
        <v>409</v>
      </c>
      <c r="E163" s="57" t="str">
        <f>IF('2026'!E163="","",'2026'!E163)</f>
        <v>each</v>
      </c>
      <c r="F163" s="152">
        <f>IF('2026'!F163="","",'2026'!F163)</f>
        <v>26</v>
      </c>
      <c r="G163" s="35">
        <f>IF('2026'!G163="","",'2026'!G163)</f>
        <v>17</v>
      </c>
      <c r="H163" s="23">
        <f>IF('2026'!H163="","",'2026'!H163)</f>
        <v>16.489999999999998</v>
      </c>
      <c r="I163" s="24">
        <f>IF('2026'!I163="","",'2026'!I163)</f>
        <v>16.149999999999999</v>
      </c>
      <c r="J163" s="25">
        <f>IF('2026'!J163="","",'2026'!J163)</f>
        <v>15.979999999999999</v>
      </c>
    </row>
    <row r="164" spans="1:10" x14ac:dyDescent="0.2">
      <c r="A164" s="57" t="str">
        <f>IF('2026'!B164="","",'2026'!B164)</f>
        <v/>
      </c>
      <c r="B164" s="239" t="str">
        <f>IF('2026'!C164="","",'2026'!C164)</f>
        <v/>
      </c>
      <c r="C164" s="139" t="str">
        <f>IF('2026'!D164="","",'2026'!D164)</f>
        <v>Wall Drain Pro - Grey, Tan, Black</v>
      </c>
      <c r="D164" s="147"/>
      <c r="E164" s="57" t="str">
        <f>IF('2026'!E164="","",'2026'!E164)</f>
        <v>each</v>
      </c>
      <c r="F164" s="152">
        <f>IF('2026'!F164="","",'2026'!F164)</f>
        <v>20</v>
      </c>
      <c r="G164" s="35">
        <f>IF('2026'!G164="","",'2026'!G164)</f>
        <v>16</v>
      </c>
      <c r="H164" s="23">
        <f>IF('2026'!H164="","",'2026'!H164)</f>
        <v>15.52</v>
      </c>
      <c r="I164" s="24">
        <f>IF('2026'!I164="","",'2026'!I164)</f>
        <v>15.2</v>
      </c>
      <c r="J164" s="25">
        <f>IF('2026'!J164="","",'2026'!J164)</f>
        <v>15.04</v>
      </c>
    </row>
    <row r="165" spans="1:10" x14ac:dyDescent="0.2">
      <c r="A165" s="57" t="str">
        <f>IF('2026'!B165="","",'2026'!B165)</f>
        <v/>
      </c>
      <c r="B165" s="239" t="str">
        <f>IF('2026'!C165="","",'2026'!C165)</f>
        <v/>
      </c>
      <c r="C165" s="139" t="str">
        <f>IF('2026'!D165="","",'2026'!D165)</f>
        <v>Medium SlabGrabber</v>
      </c>
      <c r="D165" s="147"/>
      <c r="E165" s="57" t="str">
        <f>IF('2026'!E165="","",'2026'!E165)</f>
        <v>each</v>
      </c>
      <c r="F165" s="152">
        <f>IF('2026'!F165="","",'2026'!F165)</f>
        <v>173</v>
      </c>
      <c r="G165" s="35">
        <f>IF('2026'!G165="","",'2026'!G165)</f>
        <v>118</v>
      </c>
      <c r="H165" s="23">
        <f>IF('2026'!H165="","",'2026'!H165)</f>
        <v>114.46</v>
      </c>
      <c r="I165" s="24">
        <f>IF('2026'!I165="","",'2026'!I165)</f>
        <v>112.1</v>
      </c>
      <c r="J165" s="25">
        <f>IF('2026'!J165="","",'2026'!J165)</f>
        <v>110.91999999999999</v>
      </c>
    </row>
    <row r="166" spans="1:10" hidden="1" x14ac:dyDescent="0.2">
      <c r="A166" s="57" t="str">
        <f>IF('2026'!B166="","",'2026'!B166)</f>
        <v/>
      </c>
      <c r="B166" s="239" t="str">
        <f>IF('2026'!C166="","",'2026'!C166)</f>
        <v/>
      </c>
      <c r="C166" s="139" t="str">
        <f>IF('2026'!D166="","",'2026'!D166)</f>
        <v>Paver Extractor</v>
      </c>
      <c r="D166" s="147"/>
      <c r="E166" s="57" t="str">
        <f>IF('2026'!E166="","",'2026'!E166)</f>
        <v>each</v>
      </c>
      <c r="F166" s="152">
        <f>IF('2026'!F166="","",'2026'!F166)</f>
        <v>242</v>
      </c>
      <c r="G166" s="35">
        <f>IF('2026'!G166="","",'2026'!G166)</f>
        <v>174</v>
      </c>
      <c r="H166" s="23">
        <f>IF('2026'!H166="","",'2026'!H166)</f>
        <v>168.78</v>
      </c>
      <c r="I166" s="24">
        <f>IF('2026'!I166="","",'2026'!I166)</f>
        <v>165.29999999999998</v>
      </c>
      <c r="J166" s="25">
        <f>IF('2026'!J166="","",'2026'!J166)</f>
        <v>163.56</v>
      </c>
    </row>
    <row r="167" spans="1:10" x14ac:dyDescent="0.2">
      <c r="A167" s="57" t="str">
        <f>IF('2026'!B167="","",'2026'!B167)</f>
        <v/>
      </c>
      <c r="B167" s="239" t="str">
        <f>IF('2026'!C167="","",'2026'!C167)</f>
        <v/>
      </c>
      <c r="C167" s="139" t="str">
        <f>IF('2026'!D167="","",'2026'!D167)</f>
        <v>Paver Paw</v>
      </c>
      <c r="D167" s="147"/>
      <c r="E167" s="57" t="str">
        <f>IF('2026'!E167="","",'2026'!E167)</f>
        <v>each</v>
      </c>
      <c r="F167" s="152">
        <f>IF('2026'!F167="","",'2026'!F167)</f>
        <v>218</v>
      </c>
      <c r="G167" s="35">
        <f>IF('2026'!G167="","",'2026'!G167)</f>
        <v>151</v>
      </c>
      <c r="H167" s="23">
        <f>IF('2026'!H167="","",'2026'!H167)</f>
        <v>146.47</v>
      </c>
      <c r="I167" s="24">
        <f>IF('2026'!I167="","",'2026'!I167)</f>
        <v>143.44999999999999</v>
      </c>
      <c r="J167" s="25">
        <f>IF('2026'!J167="","",'2026'!J167)</f>
        <v>141.94</v>
      </c>
    </row>
    <row r="168" spans="1:10" x14ac:dyDescent="0.2">
      <c r="A168" s="57" t="str">
        <f>IF('2026'!B168="","",'2026'!B168)</f>
        <v/>
      </c>
      <c r="B168" s="239" t="str">
        <f>IF('2026'!C168="","",'2026'!C168)</f>
        <v/>
      </c>
      <c r="C168" s="139" t="str">
        <f>IF('2026'!D168="","",'2026'!D168)</f>
        <v>SEK Tan Extreme Wide Joint Polysweep</v>
      </c>
      <c r="D168" s="147" t="s">
        <v>410</v>
      </c>
      <c r="E168" s="57" t="str">
        <f>IF('2026'!E168="","",'2026'!E168)</f>
        <v>bag</v>
      </c>
      <c r="F168" s="152">
        <f>IF('2026'!F168="","",'2026'!F168)</f>
        <v>41.48</v>
      </c>
      <c r="G168" s="35">
        <f>IF('2026'!G168="","",'2026'!G168)</f>
        <v>34.57</v>
      </c>
      <c r="H168" s="23">
        <f>IF('2026'!H168="","",'2026'!H168)</f>
        <v>33.532899999999998</v>
      </c>
      <c r="I168" s="24">
        <f>IF('2026'!I168="","",'2026'!I168)</f>
        <v>32.841499999999996</v>
      </c>
      <c r="J168" s="25">
        <f>IF('2026'!J168="","",'2026'!J168)</f>
        <v>32.495799999999996</v>
      </c>
    </row>
    <row r="169" spans="1:10" x14ac:dyDescent="0.2">
      <c r="A169" s="57" t="str">
        <f>IF('2026'!B169="","",'2026'!B169)</f>
        <v/>
      </c>
      <c r="B169" s="239" t="str">
        <f>IF('2026'!C169="","",'2026'!C169)</f>
        <v/>
      </c>
      <c r="C169" s="139" t="str">
        <f>IF('2026'!D169="","",'2026'!D169)</f>
        <v>SEK Platinum Extreme Wide Joint Polysweep</v>
      </c>
      <c r="D169" s="147" t="s">
        <v>410</v>
      </c>
      <c r="E169" s="57" t="str">
        <f>IF('2026'!E169="","",'2026'!E169)</f>
        <v>bag</v>
      </c>
      <c r="F169" s="152">
        <f>IF('2026'!F169="","",'2026'!F169)</f>
        <v>59.32</v>
      </c>
      <c r="G169" s="35">
        <f>IF('2026'!G169="","",'2026'!G169)</f>
        <v>49.43</v>
      </c>
      <c r="H169" s="23">
        <f>IF('2026'!H169="","",'2026'!H169)</f>
        <v>47.947099999999999</v>
      </c>
      <c r="I169" s="24">
        <f>IF('2026'!I169="","",'2026'!I169)</f>
        <v>46.958500000000001</v>
      </c>
      <c r="J169" s="25">
        <f>IF('2026'!J169="","",'2026'!J169)</f>
        <v>46.464199999999998</v>
      </c>
    </row>
    <row r="170" spans="1:10" x14ac:dyDescent="0.2">
      <c r="A170" s="57" t="str">
        <f>IF('2026'!B170="","",'2026'!B170)</f>
        <v/>
      </c>
      <c r="B170" s="239" t="str">
        <f>IF('2026'!C170="","",'2026'!C170)</f>
        <v/>
      </c>
      <c r="C170" s="139" t="str">
        <f>IF('2026'!D170="","",'2026'!D170)</f>
        <v>SEK Black Extreme Wide Joint Polysweep</v>
      </c>
      <c r="D170" s="147" t="s">
        <v>410</v>
      </c>
      <c r="E170" s="57" t="str">
        <f>IF('2026'!E170="","",'2026'!E170)</f>
        <v>bag</v>
      </c>
      <c r="F170" s="152">
        <f>IF('2026'!F170="","",'2026'!F170)</f>
        <v>75.89</v>
      </c>
      <c r="G170" s="35">
        <f>IF('2026'!G170="","",'2026'!G170)</f>
        <v>63.24</v>
      </c>
      <c r="H170" s="23">
        <f>IF('2026'!H170="","",'2026'!H170)</f>
        <v>61.342799999999997</v>
      </c>
      <c r="I170" s="24">
        <f>IF('2026'!I170="","",'2026'!I170)</f>
        <v>60.077999999999996</v>
      </c>
      <c r="J170" s="25">
        <f>IF('2026'!J170="","",'2026'!J170)</f>
        <v>59.445599999999999</v>
      </c>
    </row>
    <row r="171" spans="1:10" x14ac:dyDescent="0.2">
      <c r="A171" s="57" t="str">
        <f>IF('2026'!B171="","",'2026'!B171)</f>
        <v/>
      </c>
      <c r="B171" s="239" t="str">
        <f>IF('2026'!C171="","",'2026'!C171)</f>
        <v/>
      </c>
      <c r="C171" s="139" t="str">
        <f>IF('2026'!D171="","",'2026'!D171)</f>
        <v>SEK Edge Crete</v>
      </c>
      <c r="D171" s="147" t="s">
        <v>410</v>
      </c>
      <c r="E171" s="57" t="str">
        <f>IF('2026'!E171="","",'2026'!E171)</f>
        <v>bag</v>
      </c>
      <c r="F171" s="152">
        <f>IF('2026'!F171="","",'2026'!F171)</f>
        <v>32.93</v>
      </c>
      <c r="G171" s="35">
        <f>IF('2026'!G171="","",'2026'!G171)</f>
        <v>27.44</v>
      </c>
      <c r="H171" s="23">
        <f>IF('2026'!H171="","",'2026'!H171)</f>
        <v>26.616800000000001</v>
      </c>
      <c r="I171" s="24">
        <f>IF('2026'!I171="","",'2026'!I171)</f>
        <v>26.068000000000001</v>
      </c>
      <c r="J171" s="25">
        <f>IF('2026'!J171="","",'2026'!J171)</f>
        <v>25.793600000000001</v>
      </c>
    </row>
    <row r="172" spans="1:10" x14ac:dyDescent="0.2">
      <c r="A172" s="20"/>
      <c r="B172" s="49"/>
      <c r="C172" s="2" t="s">
        <v>229</v>
      </c>
      <c r="D172" s="20"/>
      <c r="E172" s="14"/>
      <c r="F172" s="48"/>
      <c r="G172" s="48"/>
      <c r="H172" s="48"/>
      <c r="I172" s="48"/>
      <c r="J172" s="48"/>
    </row>
    <row r="173" spans="1:10" x14ac:dyDescent="0.2">
      <c r="A173" s="57" t="str">
        <f>IF('2026'!B173="","",'2026'!B173)</f>
        <v/>
      </c>
      <c r="B173" s="239" t="str">
        <f>IF('2026'!C173="","",'2026'!C173)</f>
        <v/>
      </c>
      <c r="C173" s="139" t="str">
        <f>IF('2026'!D173="","",'2026'!D173)</f>
        <v>Gamma Ray Up Light</v>
      </c>
      <c r="D173" s="57"/>
      <c r="E173" s="57" t="str">
        <f>IF('2026'!E173="","",'2026'!E173)</f>
        <v>each</v>
      </c>
      <c r="F173" s="152">
        <f>IF('2026'!F173="","",'2026'!F173)</f>
        <v>102.95</v>
      </c>
      <c r="G173" s="35">
        <f>IF('2026'!G173="","",'2026'!G173)</f>
        <v>66.14</v>
      </c>
      <c r="H173" s="23">
        <f>IF('2026'!H173="","",'2026'!H173)</f>
        <v>64.155799999999999</v>
      </c>
      <c r="I173" s="24">
        <f>IF('2026'!I173="","",'2026'!I173)</f>
        <v>62.832999999999998</v>
      </c>
      <c r="J173" s="25">
        <f>IF('2026'!J173="","",'2026'!J173)</f>
        <v>62.171599999999998</v>
      </c>
    </row>
    <row r="174" spans="1:10" x14ac:dyDescent="0.2">
      <c r="A174" s="57" t="str">
        <f>IF('2026'!B174="","",'2026'!B174)</f>
        <v/>
      </c>
      <c r="B174" s="239" t="str">
        <f>IF('2026'!C174="","",'2026'!C174)</f>
        <v/>
      </c>
      <c r="C174" s="139" t="str">
        <f>IF('2026'!D174="","",'2026'!D174)</f>
        <v>FlexLED 2 Watt Bulb</v>
      </c>
      <c r="D174" s="147" t="s">
        <v>411</v>
      </c>
      <c r="E174" s="57" t="str">
        <f>IF('2026'!E174="","",'2026'!E174)</f>
        <v>each</v>
      </c>
      <c r="F174" s="152">
        <f>IF('2026'!F174="","",'2026'!F174)</f>
        <v>19.3</v>
      </c>
      <c r="G174" s="35">
        <f>IF('2026'!G174="","",'2026'!G174)</f>
        <v>12.4</v>
      </c>
      <c r="H174" s="23">
        <f>IF('2026'!H174="","",'2026'!H174)</f>
        <v>12.028</v>
      </c>
      <c r="I174" s="24">
        <f>IF('2026'!I174="","",'2026'!I174)</f>
        <v>11.78</v>
      </c>
      <c r="J174" s="25">
        <f>IF('2026'!J174="","",'2026'!J174)</f>
        <v>11.655999999999999</v>
      </c>
    </row>
    <row r="175" spans="1:10" x14ac:dyDescent="0.2">
      <c r="A175" s="57" t="str">
        <f>IF('2026'!B175="","",'2026'!B175)</f>
        <v/>
      </c>
      <c r="B175" s="239" t="str">
        <f>IF('2026'!C175="","",'2026'!C175)</f>
        <v/>
      </c>
      <c r="C175" s="139" t="str">
        <f>IF('2026'!D175="","",'2026'!D175)</f>
        <v>Neutron Area Light (2 watt)</v>
      </c>
      <c r="D175" s="147" t="s">
        <v>411</v>
      </c>
      <c r="E175" s="57" t="str">
        <f>IF('2026'!E175="","",'2026'!E175)</f>
        <v>each</v>
      </c>
      <c r="F175" s="152">
        <f>IF('2026'!F175="","",'2026'!F175)</f>
        <v>118.4</v>
      </c>
      <c r="G175" s="35">
        <f>IF('2026'!G175="","",'2026'!G175)</f>
        <v>76.06</v>
      </c>
      <c r="H175" s="23">
        <f>IF('2026'!H175="","",'2026'!H175)</f>
        <v>73.778199999999998</v>
      </c>
      <c r="I175" s="24">
        <f>IF('2026'!I175="","",'2026'!I175)</f>
        <v>72.257000000000005</v>
      </c>
      <c r="J175" s="25">
        <f>IF('2026'!J175="","",'2026'!J175)</f>
        <v>71.496399999999994</v>
      </c>
    </row>
    <row r="176" spans="1:10" x14ac:dyDescent="0.2">
      <c r="A176" s="57" t="str">
        <f>IF('2026'!B176="","",'2026'!B176)</f>
        <v/>
      </c>
      <c r="B176" s="239" t="str">
        <f>IF('2026'!C176="","",'2026'!C176)</f>
        <v/>
      </c>
      <c r="C176" s="139" t="str">
        <f>IF('2026'!D176="","",'2026'!D176)</f>
        <v>ISO Ledge Light</v>
      </c>
      <c r="D176" s="147"/>
      <c r="E176" s="57" t="str">
        <f>IF('2026'!E176="","",'2026'!E176)</f>
        <v>each</v>
      </c>
      <c r="F176" s="152">
        <f>IF('2026'!F176="","",'2026'!F176)</f>
        <v>86.25</v>
      </c>
      <c r="G176" s="35">
        <f>IF('2026'!G176="","",'2026'!G176)</f>
        <v>55.41</v>
      </c>
      <c r="H176" s="23">
        <f>IF('2026'!H176="","",'2026'!H176)</f>
        <v>53.747699999999995</v>
      </c>
      <c r="I176" s="24">
        <f>IF('2026'!I176="","",'2026'!I176)</f>
        <v>52.639499999999991</v>
      </c>
      <c r="J176" s="25">
        <f>IF('2026'!J176="","",'2026'!J176)</f>
        <v>52.085399999999993</v>
      </c>
    </row>
    <row r="177" spans="1:10" x14ac:dyDescent="0.2">
      <c r="A177" s="57" t="str">
        <f>IF('2026'!B177="","",'2026'!B177)</f>
        <v/>
      </c>
      <c r="B177" s="239" t="str">
        <f>IF('2026'!C177="","",'2026'!C177)</f>
        <v/>
      </c>
      <c r="C177" s="139" t="str">
        <f>IF('2026'!D177="","",'2026'!D177)</f>
        <v>Satellite HUB</v>
      </c>
      <c r="D177" s="147"/>
      <c r="E177" s="57" t="str">
        <f>IF('2026'!E177="","",'2026'!E177)</f>
        <v>each</v>
      </c>
      <c r="F177" s="152">
        <f>IF('2026'!F177="","",'2026'!F177)</f>
        <v>57.95</v>
      </c>
      <c r="G177" s="35">
        <f>IF('2026'!G177="","",'2026'!G177)</f>
        <v>37.229999999999997</v>
      </c>
      <c r="H177" s="23">
        <f>IF('2026'!H177="","",'2026'!H177)</f>
        <v>36.113099999999996</v>
      </c>
      <c r="I177" s="24">
        <f>IF('2026'!I177="","",'2026'!I177)</f>
        <v>35.368499999999997</v>
      </c>
      <c r="J177" s="25">
        <f>IF('2026'!J177="","",'2026'!J177)</f>
        <v>34.996199999999995</v>
      </c>
    </row>
    <row r="178" spans="1:10" x14ac:dyDescent="0.2">
      <c r="A178" s="57" t="str">
        <f>IF('2026'!B178="","",'2026'!B178)</f>
        <v/>
      </c>
      <c r="B178" s="239" t="str">
        <f>IF('2026'!C178="","",'2026'!C178)</f>
        <v/>
      </c>
      <c r="C178" s="139" t="str">
        <f>IF('2026'!D178="","",'2026'!D178)</f>
        <v>SNPC2 Photocell</v>
      </c>
      <c r="D178" s="147"/>
      <c r="E178" s="57" t="str">
        <f>IF('2026'!E178="","",'2026'!E178)</f>
        <v>each</v>
      </c>
      <c r="F178" s="152">
        <f>IF('2026'!F178="","",'2026'!F178)</f>
        <v>91.9</v>
      </c>
      <c r="G178" s="35">
        <f>IF('2026'!G178="","",'2026'!G178)</f>
        <v>59.04</v>
      </c>
      <c r="H178" s="23">
        <f>IF('2026'!H178="","",'2026'!H178)</f>
        <v>57.268799999999999</v>
      </c>
      <c r="I178" s="24">
        <f>IF('2026'!I178="","",'2026'!I178)</f>
        <v>56.087999999999994</v>
      </c>
      <c r="J178" s="25">
        <f>IF('2026'!J178="","",'2026'!J178)</f>
        <v>55.497599999999998</v>
      </c>
    </row>
    <row r="179" spans="1:10" x14ac:dyDescent="0.2">
      <c r="A179" s="57" t="str">
        <f>IF('2026'!B179="","",'2026'!B179)</f>
        <v/>
      </c>
      <c r="B179" s="239" t="str">
        <f>IF('2026'!C179="","",'2026'!C179)</f>
        <v/>
      </c>
      <c r="C179" s="139" t="str">
        <f>IF('2026'!D179="","",'2026'!D179)</f>
        <v>Interior Manual Timer</v>
      </c>
      <c r="D179" s="147"/>
      <c r="E179" s="57" t="str">
        <f>IF('2026'!E179="","",'2026'!E179)</f>
        <v>each</v>
      </c>
      <c r="F179" s="152">
        <f>IF('2026'!F179="","",'2026'!F179)</f>
        <v>52</v>
      </c>
      <c r="G179" s="35">
        <f>IF('2026'!G179="","",'2026'!G179)</f>
        <v>33.409999999999997</v>
      </c>
      <c r="H179" s="23">
        <f>IF('2026'!H179="","",'2026'!H179)</f>
        <v>32.407699999999998</v>
      </c>
      <c r="I179" s="24">
        <f>IF('2026'!I179="","",'2026'!I179)</f>
        <v>31.739499999999996</v>
      </c>
      <c r="J179" s="25">
        <f>IF('2026'!J179="","",'2026'!J179)</f>
        <v>31.405399999999997</v>
      </c>
    </row>
    <row r="180" spans="1:10" x14ac:dyDescent="0.2">
      <c r="A180" s="57" t="str">
        <f>IF('2026'!B180="","",'2026'!B180)</f>
        <v/>
      </c>
      <c r="B180" s="239" t="str">
        <f>IF('2026'!C180="","",'2026'!C180)</f>
        <v/>
      </c>
      <c r="C180" s="139" t="str">
        <f>IF('2026'!D180="","",'2026'!D180)</f>
        <v>300W AC Transformer</v>
      </c>
      <c r="D180" s="147" t="s">
        <v>412</v>
      </c>
      <c r="E180" s="57" t="str">
        <f>IF('2026'!E180="","",'2026'!E180)</f>
        <v>each</v>
      </c>
      <c r="F180" s="152">
        <f>IF('2026'!F180="","",'2026'!F180)</f>
        <v>404.01</v>
      </c>
      <c r="G180" s="35">
        <f>IF('2026'!G180="","",'2026'!G180)</f>
        <v>278.63</v>
      </c>
      <c r="H180" s="23">
        <f>IF('2026'!H180="","",'2026'!H180)</f>
        <v>270.27109999999999</v>
      </c>
      <c r="I180" s="24">
        <f>IF('2026'!I180="","",'2026'!I180)</f>
        <v>264.69849999999997</v>
      </c>
      <c r="J180" s="25">
        <f>IF('2026'!J180="","",'2026'!J180)</f>
        <v>261.91219999999998</v>
      </c>
    </row>
    <row r="181" spans="1:10" x14ac:dyDescent="0.2">
      <c r="A181" s="57" t="str">
        <f>IF('2026'!B181="","",'2026'!B181)</f>
        <v/>
      </c>
      <c r="B181" s="239" t="str">
        <f>IF('2026'!C181="","",'2026'!C181)</f>
        <v/>
      </c>
      <c r="C181" s="139" t="str">
        <f>IF('2026'!D181="","",'2026'!D181)</f>
        <v>200W AC Transformer</v>
      </c>
      <c r="D181" s="147" t="s">
        <v>773</v>
      </c>
      <c r="E181" s="57" t="str">
        <f>IF('2026'!E181="","",'2026'!E181)</f>
        <v>each</v>
      </c>
      <c r="F181" s="152">
        <f>IF('2026'!F181="","",'2026'!F181)</f>
        <v>386.44</v>
      </c>
      <c r="G181" s="35">
        <f>IF('2026'!G181="","",'2026'!G181)</f>
        <v>270.51</v>
      </c>
      <c r="H181" s="23">
        <f>IF('2026'!H181="","",'2026'!H181)</f>
        <v>262.3947</v>
      </c>
      <c r="I181" s="24">
        <f>IF('2026'!I181="","",'2026'!I181)</f>
        <v>256.98449999999997</v>
      </c>
      <c r="J181" s="25">
        <f>IF('2026'!J181="","",'2026'!J181)</f>
        <v>254.27939999999998</v>
      </c>
    </row>
    <row r="182" spans="1:10" x14ac:dyDescent="0.2">
      <c r="A182" s="57" t="str">
        <f>IF('2026'!B182="","",'2026'!B182)</f>
        <v/>
      </c>
      <c r="B182" s="239" t="str">
        <f>IF('2026'!C182="","",'2026'!C182)</f>
        <v/>
      </c>
      <c r="C182" s="139" t="str">
        <f>IF('2026'!D182="","",'2026'!D182)</f>
        <v>100W AC Transformer</v>
      </c>
      <c r="D182" s="147" t="s">
        <v>772</v>
      </c>
      <c r="E182" s="57" t="str">
        <f>IF('2026'!E182="","",'2026'!E182)</f>
        <v>each</v>
      </c>
      <c r="F182" s="152">
        <f>IF('2026'!F182="","",'2026'!F182)</f>
        <v>116.36</v>
      </c>
      <c r="G182" s="35">
        <f>IF('2026'!G182="","",'2026'!G182)</f>
        <v>80.25</v>
      </c>
      <c r="H182" s="23">
        <f>IF('2026'!H182="","",'2026'!H182)</f>
        <v>77.842500000000001</v>
      </c>
      <c r="I182" s="24">
        <f>IF('2026'!I182="","",'2026'!I182)</f>
        <v>76.237499999999997</v>
      </c>
      <c r="J182" s="25">
        <f>IF('2026'!J182="","",'2026'!J182)</f>
        <v>75.435000000000002</v>
      </c>
    </row>
    <row r="183" spans="1:10" x14ac:dyDescent="0.2">
      <c r="A183" s="57" t="str">
        <f>IF('2026'!B183="","",'2026'!B183)</f>
        <v/>
      </c>
      <c r="B183" s="239" t="str">
        <f>IF('2026'!C183="","",'2026'!C183)</f>
        <v/>
      </c>
      <c r="C183" s="139" t="str">
        <f>IF('2026'!D183="","",'2026'!D183)</f>
        <v>14/2 Low Voltage Wire 50 Ft</v>
      </c>
      <c r="D183" s="147" t="s">
        <v>413</v>
      </c>
      <c r="E183" s="57" t="str">
        <f>IF('2026'!E183="","",'2026'!E183)</f>
        <v>each</v>
      </c>
      <c r="F183" s="152">
        <f>IF('2026'!F183="","",'2026'!F183)</f>
        <v>52.2</v>
      </c>
      <c r="G183" s="35">
        <f>IF('2026'!G183="","",'2026'!G183)</f>
        <v>36</v>
      </c>
      <c r="H183" s="23">
        <f>IF('2026'!H183="","",'2026'!H183)</f>
        <v>34.92</v>
      </c>
      <c r="I183" s="24">
        <f>IF('2026'!I183="","",'2026'!I183)</f>
        <v>34.199999999999996</v>
      </c>
      <c r="J183" s="25">
        <f>IF('2026'!J183="","",'2026'!J183)</f>
        <v>33.839999999999996</v>
      </c>
    </row>
    <row r="184" spans="1:10" x14ac:dyDescent="0.2">
      <c r="A184" s="57" t="str">
        <f>IF('2026'!B184="","",'2026'!B184)</f>
        <v/>
      </c>
      <c r="B184" s="239" t="str">
        <f>IF('2026'!C184="","",'2026'!C184)</f>
        <v/>
      </c>
      <c r="C184" s="139" t="str">
        <f>IF('2026'!D184="","",'2026'!D184)</f>
        <v>Waterproof Connector 10 Pack</v>
      </c>
      <c r="D184" s="147"/>
      <c r="E184" s="57" t="str">
        <f>IF('2026'!E184="","",'2026'!E184)</f>
        <v>each</v>
      </c>
      <c r="F184" s="152">
        <f>IF('2026'!F184="","",'2026'!F184)</f>
        <v>31.54</v>
      </c>
      <c r="G184" s="35">
        <f>IF('2026'!G184="","",'2026'!G184)</f>
        <v>21.75</v>
      </c>
      <c r="H184" s="23">
        <f>IF('2026'!H184="","",'2026'!H184)</f>
        <v>21.0975</v>
      </c>
      <c r="I184" s="24">
        <f>IF('2026'!I184="","",'2026'!I184)</f>
        <v>20.662499999999998</v>
      </c>
      <c r="J184" s="25">
        <f>IF('2026'!J184="","",'2026'!J184)</f>
        <v>20.445</v>
      </c>
    </row>
    <row r="185" spans="1:10" x14ac:dyDescent="0.2">
      <c r="A185" s="20"/>
      <c r="B185" s="49"/>
      <c r="C185" s="2" t="s">
        <v>423</v>
      </c>
      <c r="D185" s="20"/>
      <c r="E185" s="14"/>
      <c r="F185" s="48"/>
      <c r="G185" s="48"/>
      <c r="H185" s="48"/>
      <c r="I185" s="48"/>
      <c r="J185" s="48"/>
    </row>
    <row r="186" spans="1:10" x14ac:dyDescent="0.2">
      <c r="A186" s="57" t="str">
        <f>IF('2026'!B186="","",'2026'!B186)</f>
        <v/>
      </c>
      <c r="B186" s="239" t="str">
        <f>IF('2026'!C186="","",'2026'!C186)</f>
        <v/>
      </c>
      <c r="C186" s="139" t="str">
        <f>IF('2026'!D186="","",'2026'!D186)</f>
        <v>Steel Edging - 10' Stick - 14 Ga. - Green, Brown, Black</v>
      </c>
      <c r="D186" s="147" t="s">
        <v>414</v>
      </c>
      <c r="E186" s="57" t="str">
        <f>IF('2026'!E186="","",'2026'!E186)</f>
        <v>each</v>
      </c>
      <c r="F186" s="152">
        <f>IF('2026'!F186="","",'2026'!F186)</f>
        <v>33</v>
      </c>
      <c r="G186" s="35">
        <f>IF('2026'!G186="","",'2026'!G186)</f>
        <v>26</v>
      </c>
      <c r="H186" s="23">
        <f>IF('2026'!H186="","",'2026'!H186)</f>
        <v>25.22</v>
      </c>
      <c r="I186" s="24">
        <f>IF('2026'!I186="","",'2026'!I186)</f>
        <v>24.7</v>
      </c>
      <c r="J186" s="25">
        <f>IF('2026'!J186="","",'2026'!J186)</f>
        <v>24.439999999999998</v>
      </c>
    </row>
    <row r="187" spans="1:10" x14ac:dyDescent="0.2">
      <c r="A187" s="57" t="str">
        <f>IF('2026'!B187="","",'2026'!B187)</f>
        <v/>
      </c>
      <c r="B187" s="239" t="str">
        <f>IF('2026'!C187="","",'2026'!C187)</f>
        <v/>
      </c>
      <c r="C187" s="139" t="str">
        <f>IF('2026'!D187="","",'2026'!D187)</f>
        <v>Steel Edging Stake - Green, Brown, Black V Shape</v>
      </c>
      <c r="D187" s="147"/>
      <c r="E187" s="57" t="str">
        <f>IF('2026'!E187="","",'2026'!E187)</f>
        <v>each</v>
      </c>
      <c r="F187" s="152">
        <f>IF('2026'!F187="","",'2026'!F187)</f>
        <v>1</v>
      </c>
      <c r="G187" s="35">
        <f>IF('2026'!G187="","",'2026'!G187)</f>
        <v>1</v>
      </c>
      <c r="H187" s="23">
        <f>IF('2026'!H187="","",'2026'!H187)</f>
        <v>0.97</v>
      </c>
      <c r="I187" s="24">
        <f>IF('2026'!I187="","",'2026'!I187)</f>
        <v>0.95</v>
      </c>
      <c r="J187" s="25">
        <f>IF('2026'!J187="","",'2026'!J187)</f>
        <v>0.94</v>
      </c>
    </row>
    <row r="188" spans="1:10" x14ac:dyDescent="0.2">
      <c r="A188" s="57" t="str">
        <f>IF('2026'!B188="","",'2026'!B188)</f>
        <v/>
      </c>
      <c r="B188" s="239" t="str">
        <f>IF('2026'!C188="","",'2026'!C188)</f>
        <v/>
      </c>
      <c r="C188" s="139" t="str">
        <f>IF('2026'!D188="","",'2026'!D188)</f>
        <v>Steel Edging - Corner Stake - Green, Brown, or Black</v>
      </c>
      <c r="D188" s="57"/>
      <c r="E188" s="57" t="str">
        <f>IF('2026'!E188="","",'2026'!E188)</f>
        <v>each</v>
      </c>
      <c r="F188" s="152">
        <f>IF('2026'!F188="","",'2026'!F188)</f>
        <v>4</v>
      </c>
      <c r="G188" s="35">
        <f>IF('2026'!G188="","",'2026'!G188)</f>
        <v>4</v>
      </c>
      <c r="H188" s="23">
        <f>IF('2026'!H188="","",'2026'!H188)</f>
        <v>3.88</v>
      </c>
      <c r="I188" s="24">
        <f>IF('2026'!I188="","",'2026'!I188)</f>
        <v>3.8</v>
      </c>
      <c r="J188" s="25">
        <f>IF('2026'!J188="","",'2026'!J188)</f>
        <v>3.76</v>
      </c>
    </row>
    <row r="189" spans="1:10" x14ac:dyDescent="0.2">
      <c r="A189" s="57" t="str">
        <f>IF('2026'!B189="","",'2026'!B189)</f>
        <v/>
      </c>
      <c r="B189" s="239" t="str">
        <f>IF('2026'!C189="","",'2026'!C189)</f>
        <v/>
      </c>
      <c r="C189" s="139" t="str">
        <f>IF('2026'!D189="","",'2026'!D189)</f>
        <v>Steel Edging - End Stake - Brown</v>
      </c>
      <c r="D189" s="57"/>
      <c r="E189" s="57" t="str">
        <f>IF('2026'!E189="","",'2026'!E189)</f>
        <v>each</v>
      </c>
      <c r="F189" s="152">
        <f>IF('2026'!F189="","",'2026'!F189)</f>
        <v>4</v>
      </c>
      <c r="G189" s="35">
        <f>IF('2026'!G189="","",'2026'!G189)</f>
        <v>3.4</v>
      </c>
      <c r="H189" s="23">
        <f>IF('2026'!H189="","",'2026'!H189)</f>
        <v>3.298</v>
      </c>
      <c r="I189" s="24">
        <f>IF('2026'!I189="","",'2026'!I189)</f>
        <v>3.23</v>
      </c>
      <c r="J189" s="25">
        <f>IF('2026'!J189="","",'2026'!J189)</f>
        <v>3.1959999999999997</v>
      </c>
    </row>
    <row r="190" spans="1:10" x14ac:dyDescent="0.2">
      <c r="A190" s="57" t="str">
        <f>IF('2026'!B190="","",'2026'!B190)</f>
        <v/>
      </c>
      <c r="B190" s="239" t="str">
        <f>IF('2026'!C190="","",'2026'!C190)</f>
        <v/>
      </c>
      <c r="C190" s="139" t="str">
        <f>IF('2026'!D190="","",'2026'!D190)</f>
        <v>Steel Edging - Splicing Stake - Green, Brown, or Black</v>
      </c>
      <c r="D190" s="57"/>
      <c r="E190" s="57" t="str">
        <f>IF('2026'!E190="","",'2026'!E190)</f>
        <v>each</v>
      </c>
      <c r="F190" s="152">
        <f>IF('2026'!F190="","",'2026'!F190)</f>
        <v>3</v>
      </c>
      <c r="G190" s="35">
        <f>IF('2026'!G190="","",'2026'!G190)</f>
        <v>3</v>
      </c>
      <c r="H190" s="23">
        <f>IF('2026'!H190="","",'2026'!H190)</f>
        <v>2.91</v>
      </c>
      <c r="I190" s="24">
        <f>IF('2026'!I190="","",'2026'!I190)</f>
        <v>2.8499999999999996</v>
      </c>
      <c r="J190" s="25">
        <f>IF('2026'!J190="","",'2026'!J190)</f>
        <v>2.82</v>
      </c>
    </row>
    <row r="191" spans="1:10" hidden="1" x14ac:dyDescent="0.2">
      <c r="A191" s="20"/>
      <c r="B191" s="49"/>
      <c r="C191" s="2" t="s">
        <v>231</v>
      </c>
      <c r="D191" s="20"/>
      <c r="E191" s="14"/>
      <c r="F191" s="48"/>
      <c r="G191" s="48"/>
      <c r="H191" s="48"/>
      <c r="I191" s="48"/>
      <c r="J191" s="48"/>
    </row>
    <row r="192" spans="1:10" hidden="1" x14ac:dyDescent="0.2">
      <c r="A192" s="57" t="str">
        <f>IF('2026'!B192="","",'2026'!B192)</f>
        <v/>
      </c>
      <c r="B192" s="239" t="str">
        <f>IF('2026'!C192="","",'2026'!C192)</f>
        <v>*</v>
      </c>
      <c r="C192" s="139" t="str">
        <f>IF('2026'!D192="","",'2026'!D192)</f>
        <v>4” 100 Ft Drain Pipe PERFORATED</v>
      </c>
      <c r="D192" s="147" t="s">
        <v>415</v>
      </c>
      <c r="E192" s="57" t="str">
        <f>IF('2026'!E192="","",'2026'!E192)</f>
        <v>each</v>
      </c>
      <c r="F192" s="152">
        <f>IF('2026'!F192="","",'2026'!F192)</f>
        <v>127.07799999999999</v>
      </c>
      <c r="G192" s="35">
        <f>IF('2026'!G192="","",'2026'!G192)</f>
        <v>90.77</v>
      </c>
      <c r="H192" s="23">
        <f>IF('2026'!H192="","",'2026'!H192)</f>
        <v>90.77</v>
      </c>
      <c r="I192" s="24">
        <f>IF('2026'!I192="","",'2026'!I192)</f>
        <v>90.77</v>
      </c>
      <c r="J192" s="25">
        <f>IF('2026'!J192="","",'2026'!J192)</f>
        <v>90.77</v>
      </c>
    </row>
    <row r="193" spans="1:10" hidden="1" x14ac:dyDescent="0.2">
      <c r="A193" s="57" t="str">
        <f>IF('2026'!B193="","",'2026'!B193)</f>
        <v/>
      </c>
      <c r="B193" s="239" t="str">
        <f>IF('2026'!C193="","",'2026'!C193)</f>
        <v>*</v>
      </c>
      <c r="C193" s="139" t="str">
        <f>IF('2026'!D193="","",'2026'!D193)</f>
        <v>4” 100 Ft Drain Pipe PERFORATED with SOCK</v>
      </c>
      <c r="D193" s="147" t="s">
        <v>415</v>
      </c>
      <c r="E193" s="57" t="str">
        <f>IF('2026'!E193="","",'2026'!E193)</f>
        <v>each</v>
      </c>
      <c r="F193" s="152">
        <f>IF('2026'!F193="","",'2026'!F193)</f>
        <v>158.35399999999998</v>
      </c>
      <c r="G193" s="35">
        <f>IF('2026'!G193="","",'2026'!G193)</f>
        <v>113.11</v>
      </c>
      <c r="H193" s="23">
        <f>IF('2026'!H193="","",'2026'!H193)</f>
        <v>113.11</v>
      </c>
      <c r="I193" s="24">
        <f>IF('2026'!I193="","",'2026'!I193)</f>
        <v>113.11</v>
      </c>
      <c r="J193" s="25">
        <f>IF('2026'!J193="","",'2026'!J193)</f>
        <v>113.11</v>
      </c>
    </row>
    <row r="194" spans="1:10" hidden="1" x14ac:dyDescent="0.2">
      <c r="A194" s="57" t="str">
        <f>IF('2026'!B194="","",'2026'!B194)</f>
        <v/>
      </c>
      <c r="B194" s="239" t="str">
        <f>IF('2026'!C194="","",'2026'!C194)</f>
        <v>*</v>
      </c>
      <c r="C194" s="139" t="str">
        <f>IF('2026'!D194="","",'2026'!D194)</f>
        <v>4” 100 Ft Drain Pipe SOLID</v>
      </c>
      <c r="D194" s="147" t="s">
        <v>415</v>
      </c>
      <c r="E194" s="57" t="str">
        <f>IF('2026'!E194="","",'2026'!E194)</f>
        <v>each</v>
      </c>
      <c r="F194" s="152">
        <f>IF('2026'!F194="","",'2026'!F194)</f>
        <v>127.07799999999999</v>
      </c>
      <c r="G194" s="35">
        <f>IF('2026'!G194="","",'2026'!G194)</f>
        <v>90.77</v>
      </c>
      <c r="H194" s="23">
        <f>IF('2026'!H194="","",'2026'!H194)</f>
        <v>90.77</v>
      </c>
      <c r="I194" s="24">
        <f>IF('2026'!I194="","",'2026'!I194)</f>
        <v>90.77</v>
      </c>
      <c r="J194" s="25">
        <f>IF('2026'!J194="","",'2026'!J194)</f>
        <v>90.77</v>
      </c>
    </row>
    <row r="195" spans="1:10" hidden="1" x14ac:dyDescent="0.2">
      <c r="A195" s="57" t="str">
        <f>IF('2026'!B195="","",'2026'!B195)</f>
        <v/>
      </c>
      <c r="B195" s="239" t="str">
        <f>IF('2026'!C195="","",'2026'!C195)</f>
        <v>*</v>
      </c>
      <c r="C195" s="139" t="str">
        <f>IF('2026'!D195="","",'2026'!D195)</f>
        <v xml:space="preserve">2x3x4” Downspout Adapter </v>
      </c>
      <c r="D195" s="147" t="s">
        <v>416</v>
      </c>
      <c r="E195" s="57" t="str">
        <f>IF('2026'!E195="","",'2026'!E195)</f>
        <v>each</v>
      </c>
      <c r="F195" s="152">
        <f>IF('2026'!F195="","",'2026'!F195)</f>
        <v>9.5060000000000002</v>
      </c>
      <c r="G195" s="35">
        <f>IF('2026'!G195="","",'2026'!G195)</f>
        <v>6.79</v>
      </c>
      <c r="H195" s="23">
        <f>IF('2026'!H195="","",'2026'!H195)</f>
        <v>6.79</v>
      </c>
      <c r="I195" s="24">
        <f>IF('2026'!I195="","",'2026'!I195)</f>
        <v>6.79</v>
      </c>
      <c r="J195" s="25">
        <f>IF('2026'!J195="","",'2026'!J195)</f>
        <v>6.79</v>
      </c>
    </row>
    <row r="196" spans="1:10" hidden="1" x14ac:dyDescent="0.2">
      <c r="A196" s="57" t="str">
        <f>IF('2026'!B196="","",'2026'!B196)</f>
        <v/>
      </c>
      <c r="B196" s="239" t="str">
        <f>IF('2026'!C196="","",'2026'!C196)</f>
        <v>*</v>
      </c>
      <c r="C196" s="139" t="str">
        <f>IF('2026'!D196="","",'2026'!D196)</f>
        <v>3x4x4” Downspout Adapter</v>
      </c>
      <c r="D196" s="147" t="s">
        <v>417</v>
      </c>
      <c r="E196" s="57" t="str">
        <f>IF('2026'!E196="","",'2026'!E196)</f>
        <v>each</v>
      </c>
      <c r="F196" s="152">
        <f>IF('2026'!F196="","",'2026'!F196)</f>
        <v>9.8559999999999999</v>
      </c>
      <c r="G196" s="35">
        <f>IF('2026'!G196="","",'2026'!G196)</f>
        <v>7.04</v>
      </c>
      <c r="H196" s="23">
        <f>IF('2026'!H196="","",'2026'!H196)</f>
        <v>7.04</v>
      </c>
      <c r="I196" s="24">
        <f>IF('2026'!I196="","",'2026'!I196)</f>
        <v>7.04</v>
      </c>
      <c r="J196" s="25">
        <f>IF('2026'!J196="","",'2026'!J196)</f>
        <v>7.04</v>
      </c>
    </row>
    <row r="197" spans="1:10" hidden="1" x14ac:dyDescent="0.2">
      <c r="A197" s="57" t="str">
        <f>IF('2026'!B197="","",'2026'!B197)</f>
        <v/>
      </c>
      <c r="B197" s="239" t="str">
        <f>IF('2026'!C197="","",'2026'!C197)</f>
        <v>*</v>
      </c>
      <c r="C197" s="139" t="str">
        <f>IF('2026'!D197="","",'2026'!D197)</f>
        <v>6” Round Basin w/ 1 Outlet</v>
      </c>
      <c r="D197" s="57"/>
      <c r="E197" s="57" t="str">
        <f>IF('2026'!E197="","",'2026'!E197)</f>
        <v>each</v>
      </c>
      <c r="F197" s="152">
        <f>IF('2026'!F197="","",'2026'!F197)</f>
        <v>18.2</v>
      </c>
      <c r="G197" s="35">
        <f>IF('2026'!G197="","",'2026'!G197)</f>
        <v>13</v>
      </c>
      <c r="H197" s="23">
        <f>IF('2026'!H197="","",'2026'!H197)</f>
        <v>13</v>
      </c>
      <c r="I197" s="24">
        <f>IF('2026'!I197="","",'2026'!I197)</f>
        <v>13</v>
      </c>
      <c r="J197" s="25">
        <f>IF('2026'!J197="","",'2026'!J197)</f>
        <v>13</v>
      </c>
    </row>
    <row r="198" spans="1:10" hidden="1" x14ac:dyDescent="0.2">
      <c r="A198" s="57" t="str">
        <f>IF('2026'!B198="","",'2026'!B198)</f>
        <v/>
      </c>
      <c r="B198" s="239" t="str">
        <f>IF('2026'!C198="","",'2026'!C198)</f>
        <v>*</v>
      </c>
      <c r="C198" s="139" t="str">
        <f>IF('2026'!D198="","",'2026'!D198)</f>
        <v>6” Round Basin Grate (Green)</v>
      </c>
      <c r="D198" s="57"/>
      <c r="E198" s="57" t="str">
        <f>IF('2026'!E198="","",'2026'!E198)</f>
        <v>each</v>
      </c>
      <c r="F198" s="152">
        <f>IF('2026'!F198="","",'2026'!F198)</f>
        <v>9.8139999999999983</v>
      </c>
      <c r="G198" s="35">
        <f>IF('2026'!G198="","",'2026'!G198)</f>
        <v>7.01</v>
      </c>
      <c r="H198" s="23">
        <f>IF('2026'!H198="","",'2026'!H198)</f>
        <v>7.01</v>
      </c>
      <c r="I198" s="24">
        <f>IF('2026'!I198="","",'2026'!I198)</f>
        <v>7.01</v>
      </c>
      <c r="J198" s="25">
        <f>IF('2026'!J198="","",'2026'!J198)</f>
        <v>7.01</v>
      </c>
    </row>
    <row r="199" spans="1:10" hidden="1" x14ac:dyDescent="0.2">
      <c r="A199" s="57" t="str">
        <f>IF('2026'!B199="","",'2026'!B199)</f>
        <v/>
      </c>
      <c r="B199" s="239" t="str">
        <f>IF('2026'!C199="","",'2026'!C199)</f>
        <v>*</v>
      </c>
      <c r="C199" s="139" t="str">
        <f>IF('2026'!D199="","",'2026'!D199)</f>
        <v>4” Poly Drain 90’ Elbow</v>
      </c>
      <c r="D199" s="57"/>
      <c r="E199" s="57" t="str">
        <f>IF('2026'!E199="","",'2026'!E199)</f>
        <v>each</v>
      </c>
      <c r="F199" s="152">
        <f>IF('2026'!F199="","",'2026'!F199)</f>
        <v>13.103999999999999</v>
      </c>
      <c r="G199" s="35">
        <f>IF('2026'!G199="","",'2026'!G199)</f>
        <v>9.36</v>
      </c>
      <c r="H199" s="23">
        <f>IF('2026'!H199="","",'2026'!H199)</f>
        <v>9.36</v>
      </c>
      <c r="I199" s="24">
        <f>IF('2026'!I199="","",'2026'!I199)</f>
        <v>9.36</v>
      </c>
      <c r="J199" s="25">
        <f>IF('2026'!J199="","",'2026'!J199)</f>
        <v>9.36</v>
      </c>
    </row>
    <row r="200" spans="1:10" hidden="1" x14ac:dyDescent="0.2">
      <c r="A200" s="57" t="str">
        <f>IF('2026'!B200="","",'2026'!B200)</f>
        <v/>
      </c>
      <c r="B200" s="239" t="str">
        <f>IF('2026'!C200="","",'2026'!C200)</f>
        <v>*</v>
      </c>
      <c r="C200" s="139" t="str">
        <f>IF('2026'!D200="","",'2026'!D200)</f>
        <v>4" Poly Drain Wye</v>
      </c>
      <c r="D200" s="57"/>
      <c r="E200" s="57" t="str">
        <f>IF('2026'!E200="","",'2026'!E200)</f>
        <v>each</v>
      </c>
      <c r="F200" s="152">
        <f>IF('2026'!F200="","",'2026'!F200)</f>
        <v>19.207999999999998</v>
      </c>
      <c r="G200" s="35">
        <f>IF('2026'!G200="","",'2026'!G200)</f>
        <v>13.72</v>
      </c>
      <c r="H200" s="23">
        <f>IF('2026'!H200="","",'2026'!H200)</f>
        <v>13.72</v>
      </c>
      <c r="I200" s="24">
        <f>IF('2026'!I200="","",'2026'!I200)</f>
        <v>13.72</v>
      </c>
      <c r="J200" s="25">
        <f>IF('2026'!J200="","",'2026'!J200)</f>
        <v>13.72</v>
      </c>
    </row>
    <row r="201" spans="1:10" hidden="1" x14ac:dyDescent="0.2">
      <c r="A201" s="57" t="str">
        <f>IF('2026'!B201="","",'2026'!B201)</f>
        <v/>
      </c>
      <c r="B201" s="239" t="str">
        <f>IF('2026'!C201="","",'2026'!C201)</f>
        <v>*</v>
      </c>
      <c r="C201" s="139" t="str">
        <f>IF('2026'!D201="","",'2026'!D201)</f>
        <v>4" Poly Drain Tee</v>
      </c>
      <c r="D201" s="57"/>
      <c r="E201" s="57" t="str">
        <f>IF('2026'!E201="","",'2026'!E201)</f>
        <v>each</v>
      </c>
      <c r="F201" s="152">
        <f>IF('2026'!F201="","",'2026'!F201)</f>
        <v>11.536</v>
      </c>
      <c r="G201" s="35">
        <f>IF('2026'!G201="","",'2026'!G201)</f>
        <v>8.24</v>
      </c>
      <c r="H201" s="23">
        <f>IF('2026'!H201="","",'2026'!H201)</f>
        <v>8.24</v>
      </c>
      <c r="I201" s="24">
        <f>IF('2026'!I201="","",'2026'!I201)</f>
        <v>8.24</v>
      </c>
      <c r="J201" s="25">
        <f>IF('2026'!J201="","",'2026'!J201)</f>
        <v>8.24</v>
      </c>
    </row>
    <row r="202" spans="1:10" hidden="1" x14ac:dyDescent="0.2">
      <c r="A202" s="57" t="str">
        <f>IF('2026'!B202="","",'2026'!B202)</f>
        <v/>
      </c>
      <c r="B202" s="239" t="str">
        <f>IF('2026'!C202="","",'2026'!C202)</f>
        <v>*</v>
      </c>
      <c r="C202" s="139" t="str">
        <f>IF('2026'!D202="","",'2026'!D202)</f>
        <v>4" Pop Up Emitter with Elbow</v>
      </c>
      <c r="D202" s="57"/>
      <c r="E202" s="57" t="str">
        <f>IF('2026'!E202="","",'2026'!E202)</f>
        <v>each</v>
      </c>
      <c r="F202" s="152">
        <f>IF('2026'!F202="","",'2026'!F202)</f>
        <v>42.966000000000001</v>
      </c>
      <c r="G202" s="35">
        <f>IF('2026'!G202="","",'2026'!G202)</f>
        <v>30.69</v>
      </c>
      <c r="H202" s="23">
        <f>IF('2026'!H202="","",'2026'!H202)</f>
        <v>30.69</v>
      </c>
      <c r="I202" s="24">
        <f>IF('2026'!I202="","",'2026'!I202)</f>
        <v>30.69</v>
      </c>
      <c r="J202" s="25">
        <f>IF('2026'!J202="","",'2026'!J202)</f>
        <v>30.69</v>
      </c>
    </row>
    <row r="203" spans="1:10" hidden="1" x14ac:dyDescent="0.2">
      <c r="A203" s="57" t="str">
        <f>IF('2026'!B203="","",'2026'!B203)</f>
        <v/>
      </c>
      <c r="B203" s="239" t="str">
        <f>IF('2026'!C203="","",'2026'!C203)</f>
        <v>*</v>
      </c>
      <c r="C203" s="139" t="str">
        <f>IF('2026'!D203="","",'2026'!D203)</f>
        <v>4" Pop Up Emitter Only</v>
      </c>
      <c r="D203" s="57"/>
      <c r="E203" s="57" t="str">
        <f>IF('2026'!E203="","",'2026'!E203)</f>
        <v>each</v>
      </c>
      <c r="F203" s="152">
        <f>IF('2026'!F203="","",'2026'!F203)</f>
        <v>24.527999999999999</v>
      </c>
      <c r="G203" s="35">
        <f>IF('2026'!G203="","",'2026'!G203)</f>
        <v>17.52</v>
      </c>
      <c r="H203" s="23">
        <f>IF('2026'!H203="","",'2026'!H203)</f>
        <v>17.52</v>
      </c>
      <c r="I203" s="24">
        <f>IF('2026'!I203="","",'2026'!I203)</f>
        <v>17.52</v>
      </c>
      <c r="J203" s="25">
        <f>IF('2026'!J203="","",'2026'!J203)</f>
        <v>17.52</v>
      </c>
    </row>
    <row r="204" spans="1:10" hidden="1" x14ac:dyDescent="0.2">
      <c r="A204" s="57" t="str">
        <f>IF('2026'!B204="","",'2026'!B204)</f>
        <v/>
      </c>
      <c r="B204" s="239" t="str">
        <f>IF('2026'!C204="","",'2026'!C204)</f>
        <v>*</v>
      </c>
      <c r="C204" s="139" t="str">
        <f>IF('2026'!D204="","",'2026'!D204)</f>
        <v>4" Pop Up Emitter with Elbow and Hub</v>
      </c>
      <c r="D204" s="57"/>
      <c r="E204" s="57" t="str">
        <f>IF('2026'!E204="","",'2026'!E204)</f>
        <v>each</v>
      </c>
      <c r="F204" s="152">
        <f>IF('2026'!F204="","",'2026'!F204)</f>
        <v>32.997999999999998</v>
      </c>
      <c r="G204" s="35">
        <f>IF('2026'!G204="","",'2026'!G204)</f>
        <v>23.57</v>
      </c>
      <c r="H204" s="23">
        <f>IF('2026'!H204="","",'2026'!H204)</f>
        <v>23.57</v>
      </c>
      <c r="I204" s="24">
        <f>IF('2026'!I204="","",'2026'!I204)</f>
        <v>23.57</v>
      </c>
      <c r="J204" s="25">
        <f>IF('2026'!J204="","",'2026'!J204)</f>
        <v>23.57</v>
      </c>
    </row>
    <row r="205" spans="1:10" hidden="1" x14ac:dyDescent="0.2">
      <c r="A205" s="57" t="str">
        <f>IF('2026'!B205="","",'2026'!B205)</f>
        <v/>
      </c>
      <c r="B205" s="239" t="str">
        <f>IF('2026'!C205="","",'2026'!C205)</f>
        <v>*</v>
      </c>
      <c r="C205" s="139" t="str">
        <f>IF('2026'!D205="","",'2026'!D205)</f>
        <v>4” Internal Coupler</v>
      </c>
      <c r="D205" s="57"/>
      <c r="E205" s="57" t="str">
        <f>IF('2026'!E205="","",'2026'!E205)</f>
        <v>each</v>
      </c>
      <c r="F205" s="152">
        <f>IF('2026'!F205="","",'2026'!F205)</f>
        <v>5.04</v>
      </c>
      <c r="G205" s="35">
        <f>IF('2026'!G205="","",'2026'!G205)</f>
        <v>3.6</v>
      </c>
      <c r="H205" s="23">
        <f>IF('2026'!H205="","",'2026'!H205)</f>
        <v>3.6</v>
      </c>
      <c r="I205" s="24">
        <f>IF('2026'!I205="","",'2026'!I205)</f>
        <v>3.6</v>
      </c>
      <c r="J205" s="25">
        <f>IF('2026'!J205="","",'2026'!J205)</f>
        <v>3.6</v>
      </c>
    </row>
    <row r="206" spans="1:10" hidden="1" x14ac:dyDescent="0.2">
      <c r="A206" s="57" t="str">
        <f>IF('2026'!B206="","",'2026'!B206)</f>
        <v/>
      </c>
      <c r="B206" s="239" t="str">
        <f>IF('2026'!C206="","",'2026'!C206)</f>
        <v>*</v>
      </c>
      <c r="C206" s="139" t="str">
        <f>IF('2026'!D206="","",'2026'!D206)</f>
        <v>4" PVC to Corrugated Adapter</v>
      </c>
      <c r="D206" s="57"/>
      <c r="E206" s="57" t="str">
        <f>IF('2026'!E206="","",'2026'!E206)</f>
        <v>each</v>
      </c>
      <c r="F206" s="152">
        <f>IF('2026'!F206="","",'2026'!F206)</f>
        <v>9.2959999999999994</v>
      </c>
      <c r="G206" s="35">
        <f>IF('2026'!G206="","",'2026'!G206)</f>
        <v>6.64</v>
      </c>
      <c r="H206" s="23">
        <f>IF('2026'!H206="","",'2026'!H206)</f>
        <v>6.64</v>
      </c>
      <c r="I206" s="24">
        <f>IF('2026'!I206="","",'2026'!I206)</f>
        <v>6.64</v>
      </c>
      <c r="J206" s="25">
        <f>IF('2026'!J206="","",'2026'!J206)</f>
        <v>6.64</v>
      </c>
    </row>
    <row r="207" spans="1:10" hidden="1" x14ac:dyDescent="0.2">
      <c r="A207" s="57" t="str">
        <f>IF('2026'!B207="","",'2026'!B207)</f>
        <v/>
      </c>
      <c r="B207" s="239" t="str">
        <f>IF('2026'!C207="","",'2026'!C207)</f>
        <v>*</v>
      </c>
      <c r="C207" s="139" t="str">
        <f>IF('2026'!D207="","",'2026'!D207)</f>
        <v>Pipe Wrap Tape</v>
      </c>
      <c r="D207" s="57"/>
      <c r="E207" s="57" t="str">
        <f>IF('2026'!E207="","",'2026'!E207)</f>
        <v>each</v>
      </c>
      <c r="F207" s="152">
        <f>IF('2026'!F207="","",'2026'!F207)</f>
        <v>16.295999999999999</v>
      </c>
      <c r="G207" s="35">
        <f>IF('2026'!G207="","",'2026'!G207)</f>
        <v>11.64</v>
      </c>
      <c r="H207" s="23">
        <f>IF('2026'!H207="","",'2026'!H207)</f>
        <v>11.64</v>
      </c>
      <c r="I207" s="24">
        <f>IF('2026'!I207="","",'2026'!I207)</f>
        <v>11.64</v>
      </c>
      <c r="J207" s="25">
        <f>IF('2026'!J207="","",'2026'!J207)</f>
        <v>11.64</v>
      </c>
    </row>
    <row r="208" spans="1:10" hidden="1" x14ac:dyDescent="0.2">
      <c r="A208" s="57" t="str">
        <f>IF('2026'!B208="","",'2026'!B208)</f>
        <v/>
      </c>
      <c r="B208" s="239" t="str">
        <f>IF('2026'!C208="","",'2026'!C208)</f>
        <v>*</v>
      </c>
      <c r="C208" s="139" t="str">
        <f>IF('2026'!D208="","",'2026'!D208)</f>
        <v>Wall Drain Pro - Grey, Tan, Black</v>
      </c>
      <c r="D208" s="57"/>
      <c r="E208" s="57" t="str">
        <f>IF('2026'!E208="","",'2026'!E208)</f>
        <v>each</v>
      </c>
      <c r="F208" s="152">
        <f>IF('2026'!F208="","",'2026'!F208)</f>
        <v>16.26408</v>
      </c>
      <c r="G208" s="35">
        <f>IF('2026'!G208="","",'2026'!G208)</f>
        <v>13.553400000000002</v>
      </c>
      <c r="H208" s="23">
        <f>IF('2026'!H208="","",'2026'!H208)</f>
        <v>13.146798</v>
      </c>
      <c r="I208" s="24">
        <f>IF('2026'!I208="","",'2026'!I208)</f>
        <v>12.875730000000001</v>
      </c>
      <c r="J208" s="25">
        <f>IF('2026'!J208="","",'2026'!J208)</f>
        <v>12.740196000000001</v>
      </c>
    </row>
    <row r="209" spans="1:10" x14ac:dyDescent="0.2">
      <c r="A209" s="20"/>
      <c r="B209" s="49"/>
      <c r="C209" s="2" t="s">
        <v>174</v>
      </c>
      <c r="D209" s="20"/>
      <c r="E209" s="14"/>
      <c r="F209" s="48"/>
      <c r="G209" s="48"/>
      <c r="H209" s="48"/>
      <c r="I209" s="48"/>
      <c r="J209" s="48"/>
    </row>
    <row r="210" spans="1:10" x14ac:dyDescent="0.2">
      <c r="A210" s="57" t="str">
        <f>IF('2026'!B210="","",'2026'!B210)</f>
        <v/>
      </c>
      <c r="B210" s="239" t="str">
        <f>IF('2026'!C210="","",'2026'!C210)</f>
        <v/>
      </c>
      <c r="C210" s="139" t="str">
        <f>IF('2026'!D210="","",'2026'!D210)</f>
        <v>Landscaper's Mix 50 lbs</v>
      </c>
      <c r="D210" s="147" t="s">
        <v>410</v>
      </c>
      <c r="E210" s="57" t="str">
        <f>IF('2026'!E210="","",'2026'!E210)</f>
        <v>bag</v>
      </c>
      <c r="F210" s="152">
        <f>IF('2026'!F210="","",'2026'!F210)</f>
        <v>92</v>
      </c>
      <c r="G210" s="35">
        <f>IF('2026'!G210="","",'2026'!G210)</f>
        <v>74</v>
      </c>
      <c r="H210" s="23">
        <f>IF('2026'!H210="","",'2026'!H210)</f>
        <v>71.78</v>
      </c>
      <c r="I210" s="24">
        <f>IF('2026'!I210="","",'2026'!I210)</f>
        <v>70.3</v>
      </c>
      <c r="J210" s="25">
        <f>IF('2026'!J210="","",'2026'!J210)</f>
        <v>69.56</v>
      </c>
    </row>
    <row r="211" spans="1:10" x14ac:dyDescent="0.2">
      <c r="A211" s="57" t="str">
        <f>IF('2026'!B211="","",'2026'!B211)</f>
        <v/>
      </c>
      <c r="B211" s="239" t="str">
        <f>IF('2026'!C211="","",'2026'!C211)</f>
        <v/>
      </c>
      <c r="C211" s="139" t="str">
        <f>IF('2026'!D211="","",'2026'!D211)</f>
        <v>Tri Star Fescue 50 lbs</v>
      </c>
      <c r="D211" s="147" t="s">
        <v>410</v>
      </c>
      <c r="E211" s="57" t="str">
        <f>IF('2026'!E211="","",'2026'!E211)</f>
        <v>bag</v>
      </c>
      <c r="F211" s="152">
        <f>IF('2026'!F211="","",'2026'!F211)</f>
        <v>133</v>
      </c>
      <c r="G211" s="35">
        <f>IF('2026'!G211="","",'2026'!G211)</f>
        <v>107</v>
      </c>
      <c r="H211" s="23">
        <f>IF('2026'!H211="","",'2026'!H211)</f>
        <v>103.78999999999999</v>
      </c>
      <c r="I211" s="24">
        <f>IF('2026'!I211="","",'2026'!I211)</f>
        <v>101.64999999999999</v>
      </c>
      <c r="J211" s="25">
        <f>IF('2026'!J211="","",'2026'!J211)</f>
        <v>100.58</v>
      </c>
    </row>
    <row r="212" spans="1:10" x14ac:dyDescent="0.2">
      <c r="A212" s="57" t="str">
        <f>IF('2026'!B212="","",'2026'!B212)</f>
        <v/>
      </c>
      <c r="B212" s="239" t="str">
        <f>IF('2026'!C212="","",'2026'!C212)</f>
        <v/>
      </c>
      <c r="C212" s="139" t="str">
        <f>IF('2026'!D212="","",'2026'!D212)</f>
        <v>Tri Star Fescue 25 lbs</v>
      </c>
      <c r="D212" s="147" t="s">
        <v>419</v>
      </c>
      <c r="E212" s="57" t="str">
        <f>IF('2026'!E212="","",'2026'!E212)</f>
        <v>bag</v>
      </c>
      <c r="F212" s="152">
        <f>IF('2026'!F212="","",'2026'!F212)</f>
        <v>69</v>
      </c>
      <c r="G212" s="35">
        <f>IF('2026'!G212="","",'2026'!G212)</f>
        <v>55</v>
      </c>
      <c r="H212" s="23">
        <f>IF('2026'!H212="","",'2026'!H212)</f>
        <v>53.35</v>
      </c>
      <c r="I212" s="24">
        <f>IF('2026'!I212="","",'2026'!I212)</f>
        <v>52.25</v>
      </c>
      <c r="J212" s="25">
        <f>IF('2026'!J212="","",'2026'!J212)</f>
        <v>51.699999999999996</v>
      </c>
    </row>
    <row r="213" spans="1:10" x14ac:dyDescent="0.2">
      <c r="A213" s="57" t="str">
        <f>IF('2026'!B213="","",'2026'!B213)</f>
        <v/>
      </c>
      <c r="B213" s="239" t="str">
        <f>IF('2026'!C213="","",'2026'!C213)</f>
        <v/>
      </c>
      <c r="C213" s="139" t="str">
        <f>IF('2026'!D213="","",'2026'!D213)</f>
        <v>Tri Star Fescue 5 lbs</v>
      </c>
      <c r="D213" s="147" t="s">
        <v>418</v>
      </c>
      <c r="E213" s="57" t="str">
        <f>IF('2026'!E213="","",'2026'!E213)</f>
        <v>bag</v>
      </c>
      <c r="F213" s="152">
        <f>IF('2026'!F213="","",'2026'!F213)</f>
        <v>21</v>
      </c>
      <c r="G213" s="35">
        <f>IF('2026'!G213="","",'2026'!G213)</f>
        <v>17</v>
      </c>
      <c r="H213" s="23">
        <f>IF('2026'!H213="","",'2026'!H213)</f>
        <v>16.489999999999998</v>
      </c>
      <c r="I213" s="24">
        <f>IF('2026'!I213="","",'2026'!I213)</f>
        <v>16.149999999999999</v>
      </c>
      <c r="J213" s="25">
        <f>IF('2026'!J213="","",'2026'!J213)</f>
        <v>15.979999999999999</v>
      </c>
    </row>
    <row r="214" spans="1:10" x14ac:dyDescent="0.2">
      <c r="A214" s="20"/>
      <c r="B214" s="49"/>
      <c r="C214" s="2" t="s">
        <v>180</v>
      </c>
      <c r="D214" s="20"/>
      <c r="E214" s="14"/>
      <c r="F214" s="48"/>
      <c r="G214" s="48"/>
      <c r="H214" s="48"/>
      <c r="I214" s="48"/>
      <c r="J214" s="48"/>
    </row>
    <row r="215" spans="1:10" x14ac:dyDescent="0.2">
      <c r="A215" s="57" t="str">
        <f>IF('2026'!B215="","",'2026'!B215)</f>
        <v/>
      </c>
      <c r="B215" s="239" t="str">
        <f>IF('2026'!C215="","",'2026'!C215)</f>
        <v/>
      </c>
      <c r="C215" s="139" t="str">
        <f>IF('2026'!D215="","",'2026'!D215)</f>
        <v>Starter Fertilizer</v>
      </c>
      <c r="D215" s="147" t="s">
        <v>410</v>
      </c>
      <c r="E215" s="57" t="str">
        <f>IF('2026'!E215="","",'2026'!E215)</f>
        <v>bag</v>
      </c>
      <c r="F215" s="152">
        <f>IF('2026'!F215="","",'2026'!F215)</f>
        <v>55</v>
      </c>
      <c r="G215" s="35">
        <f>IF('2026'!G215="","",'2026'!G215)</f>
        <v>39</v>
      </c>
      <c r="H215" s="23">
        <f>IF('2026'!H215="","",'2026'!H215)</f>
        <v>37.83</v>
      </c>
      <c r="I215" s="24">
        <f>IF('2026'!I215="","",'2026'!I215)</f>
        <v>37.049999999999997</v>
      </c>
      <c r="J215" s="25">
        <f>IF('2026'!J215="","",'2026'!J215)</f>
        <v>36.659999999999997</v>
      </c>
    </row>
    <row r="216" spans="1:10" x14ac:dyDescent="0.2">
      <c r="A216" s="20"/>
      <c r="B216" s="49"/>
      <c r="C216" s="2" t="s">
        <v>185</v>
      </c>
      <c r="D216" s="20"/>
      <c r="E216" s="14"/>
      <c r="F216" s="48"/>
      <c r="G216" s="48"/>
      <c r="H216" s="48"/>
      <c r="I216" s="48"/>
      <c r="J216" s="48"/>
    </row>
    <row r="217" spans="1:10" x14ac:dyDescent="0.2">
      <c r="A217" s="57" t="str">
        <f>IF('2026'!B217="","",'2026'!B217)</f>
        <v/>
      </c>
      <c r="B217" s="239" t="str">
        <f>IF('2026'!C217="","",'2026'!C217)</f>
        <v/>
      </c>
      <c r="C217" s="139" t="str">
        <f>IF('2026'!D217="","",'2026'!D217)</f>
        <v>1 Roll = 1 Square Yard</v>
      </c>
      <c r="D217" s="147" t="s">
        <v>420</v>
      </c>
      <c r="E217" s="57" t="str">
        <f>IF('2026'!E217="","",'2026'!E217)</f>
        <v>sq yd</v>
      </c>
      <c r="F217" s="152">
        <f>IF('2026'!F217="","",'2026'!F217)</f>
        <v>8</v>
      </c>
      <c r="G217" s="35">
        <f>IF('2026'!G217="","",'2026'!G217)</f>
        <v>5</v>
      </c>
      <c r="H217" s="23">
        <f>IF('2026'!H217="","",'2026'!H217)</f>
        <v>5</v>
      </c>
      <c r="I217" s="24">
        <f>IF('2026'!I217="","",'2026'!I217)</f>
        <v>5</v>
      </c>
      <c r="J217" s="25">
        <f>IF('2026'!J217="","",'2026'!J217)</f>
        <v>5</v>
      </c>
    </row>
    <row r="218" spans="1:10" x14ac:dyDescent="0.2">
      <c r="A218" s="57" t="str">
        <f>IF('2026'!B218="","",'2026'!B218)</f>
        <v/>
      </c>
      <c r="B218" s="239" t="str">
        <f>IF('2026'!C218="","",'2026'!C218)</f>
        <v/>
      </c>
      <c r="C218" s="139" t="str">
        <f>IF('2026'!D218="","",'2026'!D218)</f>
        <v>Pallet Deposit - refund w/ receipt</v>
      </c>
      <c r="D218" s="57"/>
      <c r="E218" s="57" t="str">
        <f>IF('2026'!E218="","",'2026'!E218)</f>
        <v>pallet</v>
      </c>
      <c r="F218" s="152">
        <f>IF('2026'!F218="","",'2026'!F218)</f>
        <v>20</v>
      </c>
      <c r="G218" s="35">
        <f>IF('2026'!G218="","",'2026'!G218)</f>
        <v>20</v>
      </c>
      <c r="H218" s="23">
        <f>IF('2026'!H218="","",'2026'!H218)</f>
        <v>20</v>
      </c>
      <c r="I218" s="24">
        <f>IF('2026'!I218="","",'2026'!I218)</f>
        <v>20</v>
      </c>
      <c r="J218" s="25">
        <f>IF('2026'!J218="","",'2026'!J218)</f>
        <v>20</v>
      </c>
    </row>
    <row r="219" spans="1:10" ht="21.75" hidden="1" customHeight="1" x14ac:dyDescent="0.2">
      <c r="A219" s="287" t="s">
        <v>771</v>
      </c>
      <c r="B219" s="288"/>
      <c r="C219" s="288"/>
      <c r="D219" s="288"/>
      <c r="E219" s="288"/>
      <c r="F219" s="288"/>
      <c r="G219" s="288"/>
      <c r="H219" s="288"/>
      <c r="I219" s="288"/>
      <c r="J219" s="288"/>
    </row>
  </sheetData>
  <mergeCells count="8">
    <mergeCell ref="A2:J2"/>
    <mergeCell ref="A112:J112"/>
    <mergeCell ref="A121:J121"/>
    <mergeCell ref="A219:J219"/>
    <mergeCell ref="D75:D82"/>
    <mergeCell ref="D125:D130"/>
    <mergeCell ref="D132:D139"/>
    <mergeCell ref="D5:D11"/>
  </mergeCells>
  <phoneticPr fontId="21" type="noConversion"/>
  <printOptions horizontalCentered="1" gridLines="1"/>
  <pageMargins left="0.25" right="0.25" top="0.75" bottom="0.75" header="0.3" footer="0.3"/>
  <pageSetup scale="85" fitToHeight="0" orientation="portrait" horizontalDpi="1200" verticalDpi="1200" r:id="rId1"/>
  <headerFooter>
    <oddHeader>&amp;C&amp;G</oddHeader>
    <oddFooter>&amp;L&amp;10* Prices subject to change without notice. &amp;RUpdated &amp;D</oddFooter>
  </headerFooter>
  <rowBreaks count="4" manualBreakCount="4">
    <brk id="66" max="9" man="1"/>
    <brk id="123" max="9" man="1"/>
    <brk id="184" max="9" man="1"/>
    <brk id="218" max="9" man="1"/>
  </rowBreaks>
  <colBreaks count="1" manualBreakCount="1">
    <brk id="11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2D3D1F2B089C4592708F3DD2A8F206" ma:contentTypeVersion="13" ma:contentTypeDescription="Create a new document." ma:contentTypeScope="" ma:versionID="e3f964e6481d5c0dbfdb5016ff12c008">
  <xsd:schema xmlns:xsd="http://www.w3.org/2001/XMLSchema" xmlns:xs="http://www.w3.org/2001/XMLSchema" xmlns:p="http://schemas.microsoft.com/office/2006/metadata/properties" xmlns:ns2="7942b49b-5da2-483c-9f6b-f3d10e396752" xmlns:ns3="8c3504d0-5d61-4990-99bb-78e4b1351a36" targetNamespace="http://schemas.microsoft.com/office/2006/metadata/properties" ma:root="true" ma:fieldsID="cd9049ef0ad08588d407619f5346c60e" ns2:_="" ns3:_="">
    <xsd:import namespace="7942b49b-5da2-483c-9f6b-f3d10e396752"/>
    <xsd:import namespace="8c3504d0-5d61-4990-99bb-78e4b1351a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42b49b-5da2-483c-9f6b-f3d10e3967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da19029-2b65-4fc2-83d1-6260045c58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te" ma:index="20" nillable="true" ma:displayName="te" ma:internalName="t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3504d0-5d61-4990-99bb-78e4b1351a3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299b10a-bde7-4b66-96b0-58b5dcbdbec9}" ma:internalName="TaxCatchAll" ma:showField="CatchAllData" ma:web="8c3504d0-5d61-4990-99bb-78e4b1351a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c3504d0-5d61-4990-99bb-78e4b1351a36" xsi:nil="true"/>
    <lcf76f155ced4ddcb4097134ff3c332f xmlns="7942b49b-5da2-483c-9f6b-f3d10e396752">
      <Terms xmlns="http://schemas.microsoft.com/office/infopath/2007/PartnerControls"/>
    </lcf76f155ced4ddcb4097134ff3c332f>
    <te xmlns="7942b49b-5da2-483c-9f6b-f3d10e396752" xsi:nil="true"/>
  </documentManagement>
</p:properties>
</file>

<file path=customXml/itemProps1.xml><?xml version="1.0" encoding="utf-8"?>
<ds:datastoreItem xmlns:ds="http://schemas.openxmlformats.org/officeDocument/2006/customXml" ds:itemID="{5B3A2659-6E25-45F8-871E-26A4F807E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42b49b-5da2-483c-9f6b-f3d10e396752"/>
    <ds:schemaRef ds:uri="8c3504d0-5d61-4990-99bb-78e4b1351a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63904C-0AD1-45ED-BB38-108304A7E9E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3AA189-7149-469A-B93E-57DB920D4521}">
  <ds:schemaRefs>
    <ds:schemaRef ds:uri="http://schemas.microsoft.com/office/2006/metadata/properties"/>
    <ds:schemaRef ds:uri="http://schemas.microsoft.com/office/infopath/2007/PartnerControls"/>
    <ds:schemaRef ds:uri="8c3504d0-5d61-4990-99bb-78e4b1351a36"/>
    <ds:schemaRef ds:uri="7942b49b-5da2-483c-9f6b-f3d10e39675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2023</vt:lpstr>
      <vt:lpstr>2023 with Cost</vt:lpstr>
      <vt:lpstr>2024</vt:lpstr>
      <vt:lpstr>Planting Mix</vt:lpstr>
      <vt:lpstr>Special</vt:lpstr>
      <vt:lpstr>2025</vt:lpstr>
      <vt:lpstr>Drainage 2026-Do not print</vt:lpstr>
      <vt:lpstr>2026</vt:lpstr>
      <vt:lpstr>PARTNER PRICE GUIDE PRINTABLE</vt:lpstr>
      <vt:lpstr>RETAIL PRICE GUIDE PRINTABLE</vt:lpstr>
      <vt:lpstr>'2023'!Print_Area</vt:lpstr>
      <vt:lpstr>'2023 with Cost'!Print_Area</vt:lpstr>
      <vt:lpstr>'2024'!Print_Area</vt:lpstr>
      <vt:lpstr>'2025'!Print_Area</vt:lpstr>
      <vt:lpstr>'2026'!Print_Area</vt:lpstr>
      <vt:lpstr>'Drainage 2026-Do not print'!Print_Area</vt:lpstr>
      <vt:lpstr>'PARTNER PRICE GUIDE PRINTABLE'!Print_Area</vt:lpstr>
      <vt:lpstr>'RETAIL PRICE GUIDE PRINTABLE'!Print_Area</vt:lpstr>
      <vt:lpstr>'2023'!Print_Titles</vt:lpstr>
      <vt:lpstr>'2023 with Cost'!Print_Titles</vt:lpstr>
      <vt:lpstr>'2024'!Print_Titles</vt:lpstr>
      <vt:lpstr>'2025'!Print_Titles</vt:lpstr>
      <vt:lpstr>'2026'!Print_Titles</vt:lpstr>
      <vt:lpstr>'Drainage 2026-Do not print'!Print_Titles</vt:lpstr>
      <vt:lpstr>'PARTNER PRICE GUIDE PRINTABLE'!Print_Titles</vt:lpstr>
      <vt:lpstr>'RETAIL PRICE GUIDE PRINTABLE'!Print_Titles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Pine</dc:creator>
  <cp:lastModifiedBy>Courtney Gilbert</cp:lastModifiedBy>
  <cp:lastPrinted>2026-04-30T17:31:01Z</cp:lastPrinted>
  <dcterms:created xsi:type="dcterms:W3CDTF">2017-11-14T20:28:12Z</dcterms:created>
  <dcterms:modified xsi:type="dcterms:W3CDTF">2026-04-30T18:36:47Z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0x0101008B2D3D1F2B089C4592708F3DD2A8F206</vt:lpwstr>
  </property>
  <property fmtid="{D5CDD505-2E9C-101B-9397-08002B2CF9AE}" pid="3" name="Order">
    <vt:r8>883600</vt:r8>
  </property>
  <property fmtid="{D5CDD505-2E9C-101B-9397-08002B2CF9AE}" pid="4" name="MediaServiceImageTags">
    <vt:lpwstr/>
  </property>
</Properties>
</file>